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12735" tabRatio="707" activeTab="10"/>
  </bookViews>
  <sheets>
    <sheet name="Форма 1.1." sheetId="1" r:id="rId1"/>
    <sheet name="Форма 1.2." sheetId="2" r:id="rId2"/>
    <sheet name="Форма 6.1." sheetId="3" r:id="rId3"/>
    <sheet name="Форма 6.2." sheetId="4" r:id="rId4"/>
    <sheet name="Форма 6.3." sheetId="5" r:id="rId5"/>
    <sheet name="Форма 3.1." sheetId="6" r:id="rId6"/>
    <sheet name="Форма 3.2." sheetId="7" r:id="rId7"/>
    <sheet name="Форма 3.3." sheetId="8" r:id="rId8"/>
    <sheet name="Форма 7.1." sheetId="9" r:id="rId9"/>
    <sheet name="Форма 7.2." sheetId="10" r:id="rId10"/>
    <sheet name="PNK 2014" sheetId="11" r:id="rId11"/>
  </sheets>
  <definedNames>
    <definedName name="_xlfn.IFERROR" hidden="1">#NAME?</definedName>
    <definedName name="TABLE" localSheetId="0">'Форма 1.1.'!#REF!</definedName>
    <definedName name="TABLE" localSheetId="1">'Форма 1.2.'!#REF!</definedName>
    <definedName name="TABLE" localSheetId="8">'Форма 7.1.'!#REF!</definedName>
    <definedName name="TABLE" localSheetId="9">'Форма 7.2.'!#REF!</definedName>
    <definedName name="TABLE_2" localSheetId="0">'Форма 1.1.'!#REF!</definedName>
    <definedName name="TABLE_2" localSheetId="1">'Форма 1.2.'!#REF!</definedName>
    <definedName name="TABLE_2" localSheetId="8">'Форма 7.1.'!#REF!</definedName>
    <definedName name="TABLE_2" localSheetId="9">'Форма 7.2.'!#REF!</definedName>
    <definedName name="Кв">#REF!</definedName>
    <definedName name="Кн">#REF!</definedName>
    <definedName name="_xlnm.Print_Area" localSheetId="10">'PNK 2014'!$A$1:$I$153</definedName>
    <definedName name="_xlnm.Print_Area" localSheetId="0">'Форма 1.1.'!$A$1:$CV$24</definedName>
    <definedName name="_xlnm.Print_Area" localSheetId="1">'Форма 1.2.'!$A$1:$CV$14</definedName>
    <definedName name="_xlnm.Print_Area" localSheetId="3">'Форма 6.2.'!$A$1:$F$42</definedName>
    <definedName name="_xlnm.Print_Area" localSheetId="8">'Форма 7.1.'!$A$1:$CU$26</definedName>
    <definedName name="_xlnm.Print_Area" localSheetId="9">'Форма 7.2.'!$A$1:$CV$14</definedName>
    <definedName name="Рсрi">#REF!</definedName>
  </definedNames>
  <calcPr fullCalcOnLoad="1" refMode="R1C1"/>
</workbook>
</file>

<file path=xl/sharedStrings.xml><?xml version="1.0" encoding="utf-8"?>
<sst xmlns="http://schemas.openxmlformats.org/spreadsheetml/2006/main" count="855" uniqueCount="306">
  <si>
    <t>Наименование параметра (критерия), характеризующего индикатор</t>
  </si>
  <si>
    <t>Значение</t>
  </si>
  <si>
    <t>Ф/П*100,%</t>
  </si>
  <si>
    <t>Зависимость</t>
  </si>
  <si>
    <t>Оценочный балл</t>
  </si>
  <si>
    <t>факт.(Ф)</t>
  </si>
  <si>
    <t>план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</si>
  <si>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</si>
  <si>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</si>
  <si>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</si>
  <si>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</si>
  <si>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</si>
  <si>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</si>
  <si>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</si>
  <si>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</si>
  <si>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</si>
  <si>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</si>
  <si>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</si>
  <si>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</si>
  <si>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</si>
  <si>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</si>
  <si>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</si>
  <si>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</si>
  <si>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</si>
  <si>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</si>
  <si>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</si>
  <si>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в том числе, по критерию: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</si>
  <si>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</si>
  <si>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</si>
  <si>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</si>
  <si>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</si>
  <si>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7.  Итого по индикатору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</si>
  <si>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</si>
  <si>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</si>
  <si>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</si>
  <si>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</si>
  <si>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</si>
  <si>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</si>
  <si>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</si>
  <si>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</si>
  <si>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</si>
  <si>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</si>
  <si>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</si>
  <si>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</si>
  <si>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</si>
  <si>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</si>
  <si>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</si>
  <si>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</si>
  <si>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</si>
  <si>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>2. Степень удовлетворения обращений потребителей услуг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</si>
  <si>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</si>
  <si>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</si>
  <si>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</si>
  <si>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</si>
  <si>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</si>
  <si>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</si>
  <si>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</si>
  <si>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</si>
  <si>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</si>
  <si>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</si>
  <si>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</si>
  <si>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</si>
  <si>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</si>
  <si>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6.    Итого по индикатору результативность обратной связи</t>
  </si>
  <si>
    <t>Приложение 1</t>
  </si>
  <si>
    <t>Количество точек присоединения потребителей услуг к электрической сети электросетевой организации, шт.</t>
  </si>
  <si>
    <t>Наименование электросетевой организации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</si>
  <si>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</si>
  <si>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</si>
  <si>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</si>
  <si>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</si>
  <si>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</si>
  <si>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</si>
  <si>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</si>
  <si>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</si>
  <si>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</si>
  <si>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ОАО "Югорская региональная электросетевая компания"</t>
  </si>
  <si>
    <t>Число, шт.</t>
  </si>
  <si>
    <t>Показатель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</si>
  <si>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</si>
  <si>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</t>
  </si>
  <si>
    <t xml:space="preserve">Показатель качества рассмотрения заявок на технологическое присоединение к сети </t>
  </si>
  <si>
    <t xml:space="preserve">             Форма 3.1 - Отчетные данные для расчета значения</t>
  </si>
  <si>
    <t xml:space="preserve">        показателя качества рассмотрения заявок на технологическое</t>
  </si>
  <si>
    <t xml:space="preserve">      Наименование электросетевой организации (подразделения/филиала)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</si>
  <si>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</si>
  <si>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</t>
  </si>
  <si>
    <t xml:space="preserve">Показатель качества исполнения договоров об осуществлении технологического присоединения заявителей к сети </t>
  </si>
  <si>
    <t>Форма 3.3 - Отчетные данные для расчета значения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</si>
  <si>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</t>
  </si>
  <si>
    <t xml:space="preserve">Общее число заявок на технологическое присоединение к сети, поданных заявителями в соответствующий расчетный период, десятки шт. </t>
  </si>
  <si>
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</t>
  </si>
  <si>
    <t>при технологическом присоединении заявителей</t>
  </si>
  <si>
    <t>показателя соблюдения антимонопольного законодательства</t>
  </si>
  <si>
    <t>к электрическим сетям сетевой организации,</t>
  </si>
  <si>
    <t>Форма 3.2 - Отчетные данные для расчета значения</t>
  </si>
  <si>
    <t>показателя качества исполнения договоров об осуществлении</t>
  </si>
  <si>
    <t>технологического присоединения заявителей</t>
  </si>
  <si>
    <t>№ формулы
методических 
указаний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</si>
  <si>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</si>
  <si>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1</t>
  </si>
  <si>
    <t>6.1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</si>
  <si>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</si>
  <si>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6.2</t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</si>
  <si>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</si>
  <si>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4, 4.1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</si>
  <si>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</si>
  <si>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</si>
  <si>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</si>
  <si>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</si>
  <si>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</si>
  <si>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</si>
  <si>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</si>
  <si>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№ формулы
методических указаний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</si>
  <si>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</si>
  <si>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</si>
  <si>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</si>
  <si>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бета = 1 - альфа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</si>
  <si>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</si>
  <si>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</si>
  <si>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</si>
  <si>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</si>
  <si>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7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</si>
  <si>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</si>
  <si>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</si>
  <si>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 xml:space="preserve">за </t>
  </si>
  <si>
    <t xml:space="preserve"> год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</si>
  <si>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</si>
  <si>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</si>
  <si>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</si>
  <si>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</si>
  <si>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</si>
  <si>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</si>
  <si>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</si>
  <si>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</si>
  <si>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</si>
  <si>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</si>
  <si>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</si>
  <si>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</si>
  <si>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</si>
  <si>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Максимальное за расчетный период</t>
  </si>
  <si>
    <t xml:space="preserve"> г. число</t>
  </si>
  <si>
    <t>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</si>
  <si>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</si>
  <si>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</si>
  <si>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</si>
  <si>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</si>
  <si>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</si>
  <si>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</si>
  <si>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</si>
  <si>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</si>
  <si>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</si>
  <si>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</si>
  <si>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</si>
  <si>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ОАО "Югорская региональная электросетвая компания"</t>
  </si>
  <si>
    <r>
      <t xml:space="preserve">Показатель уровня качества оказываемых услуг </t>
    </r>
    <r>
      <rPr>
        <i/>
        <sz val="11"/>
        <rFont val="Times New Roman"/>
        <family val="1"/>
      </rPr>
      <t>организации 
по управлению национальной (общероссийской) электрической сетью,</t>
    </r>
    <r>
      <rPr>
        <sz val="11"/>
        <rFont val="Times New Roman"/>
        <family val="1"/>
      </rPr>
      <t xml:space="preserve"> П</t>
    </r>
    <r>
      <rPr>
        <vertAlign val="subscript"/>
        <sz val="11"/>
        <rFont val="Times New Roman"/>
        <family val="1"/>
      </rPr>
      <t>тпр</t>
    </r>
  </si>
  <si>
    <t>2014</t>
  </si>
  <si>
    <t>Форма 6.1. -  Фактические значения индикатора  информативности за 2014 год</t>
  </si>
  <si>
    <t>Форма 1.2 - Расчет показателя средней продолжительности прекращений 
передачи электрической энергии за 2014 год</t>
  </si>
  <si>
    <t>ОАО "ЮРЭСК"</t>
  </si>
  <si>
    <t>Форма 6.2 - Фактические значения индикатора исполнительности  за 2014 год</t>
  </si>
  <si>
    <t>Форма 6.3 - Фактические значения индикатора результативности обратyой связи за 2014 год</t>
  </si>
  <si>
    <t xml:space="preserve">                    присоединение к сети в период 2014 год</t>
  </si>
  <si>
    <t>к сети, в период 2014 года</t>
  </si>
  <si>
    <t>в период 2014 года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</si>
  <si>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</si>
  <si>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</si>
  <si>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t>ОАО "Югорская региональная электросетевая компания" (ОАО "ЮРЭСК")</t>
  </si>
  <si>
    <t>(Наименование ТСО)</t>
  </si>
  <si>
    <t>I - Расчет показателя уровня надежности оказываемых услуг</t>
  </si>
  <si>
    <t>Ед.изм.</t>
  </si>
  <si>
    <t>плановое</t>
  </si>
  <si>
    <t>фактическое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</si>
  <si>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</si>
  <si>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</si>
  <si>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</si>
  <si>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шт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</si>
  <si>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</si>
  <si>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</si>
  <si>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</si>
  <si>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</si>
  <si>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</si>
  <si>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Показатель качества услуг ФСК</t>
  </si>
  <si>
    <t>III - Расчет показателя уровня качества обслуживания потребителей услуг  ТСО</t>
  </si>
  <si>
    <t>Отклонение факта от плана</t>
  </si>
  <si>
    <t>Оценка при планировании</t>
  </si>
  <si>
    <t>Оценка по факту</t>
  </si>
  <si>
    <t>СПРАВОЧНО</t>
  </si>
  <si>
    <t>min</t>
  </si>
  <si>
    <t>выставляется при</t>
  </si>
  <si>
    <t>med</t>
  </si>
  <si>
    <t>max</t>
  </si>
  <si>
    <t>Индикатор информативности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</si>
  <si>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</si>
  <si>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%</t>
  </si>
  <si>
    <t>80%&lt;гр.4&lt;120%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</si>
  <si>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</si>
  <si>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</si>
  <si>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</si>
  <si>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</si>
  <si>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</si>
  <si>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</si>
  <si>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</si>
  <si>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</si>
  <si>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(1/0)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</si>
  <si>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</si>
  <si>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</si>
  <si>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</si>
  <si>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</si>
  <si>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</si>
  <si>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7. Итого по индикатору информативности</t>
  </si>
  <si>
    <t>Индикатор исполнительности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</si>
  <si>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</si>
  <si>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</si>
  <si>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</si>
  <si>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</si>
  <si>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</si>
  <si>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</si>
  <si>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</si>
  <si>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</si>
  <si>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</si>
  <si>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</si>
  <si>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</si>
  <si>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</si>
  <si>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</si>
  <si>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</si>
  <si>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</si>
  <si>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Индикатор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</si>
  <si>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</si>
  <si>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</si>
  <si>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</si>
  <si>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</si>
  <si>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</si>
  <si>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</si>
  <si>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</si>
  <si>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</t>
  </si>
  <si>
    <t>шт/ 1000 потр</t>
  </si>
  <si>
    <t>б) электронной связи через сеть Интернет</t>
  </si>
  <si>
    <t>в) системы автоинформирования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</si>
  <si>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</si>
  <si>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</si>
  <si>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</si>
  <si>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6. Итого по индикатору результативность обратной связи</t>
  </si>
  <si>
    <t>Показатель уровня качества обслуживания потребителей услуг ТСО</t>
  </si>
  <si>
    <t>IV - Расчет показателя уровня качества осуществляемого технологического присоединения к сети</t>
  </si>
  <si>
    <t>плановое значение</t>
  </si>
  <si>
    <t>фактическое значение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</si>
  <si>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</si>
  <si>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</si>
  <si>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</si>
  <si>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2. Итого показатель качества рассмотрения заявок на технологическое присоединение к сети     (П 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</si>
  <si>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</si>
  <si>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</rPr>
      <t>сд_тпр</t>
    </r>
    <r>
      <rPr>
        <sz val="10"/>
        <rFont val="Arial"/>
        <family val="2"/>
      </rPr>
      <t>)</t>
    </r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</si>
  <si>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</rPr>
      <t xml:space="preserve">11               </t>
    </r>
    <r>
      <rPr>
        <sz val="8"/>
        <rFont val="Arial"/>
        <family val="2"/>
      </rPr>
      <t>нс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</rPr>
      <t>сд_тпр</t>
    </r>
    <r>
      <rPr>
        <sz val="10"/>
        <rFont val="Arial"/>
        <family val="2"/>
      </rPr>
      <t>)</t>
    </r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</si>
  <si>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</si>
  <si>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</si>
  <si>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</si>
  <si>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</si>
  <si>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</si>
  <si>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</si>
  <si>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IV - СВОД ПО ПОКАЗАТЕЛЯМ НАДЕЖНОСТИ И КАЧЕСТВА И РАСЧЕТ ОБОБЩЕННОГО ПОКАЗАТЕЛЯ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</si>
  <si>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</si>
  <si>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</si>
  <si>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</si>
  <si>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 достоверности отчетных данных</t>
  </si>
  <si>
    <t>Определение коэффициентов надежности и качества</t>
  </si>
  <si>
    <t>+</t>
  </si>
  <si>
    <t>Показатель уровня качества осуществляемого технологического присоединения к сети</t>
  </si>
  <si>
    <t>Значения обобщенного показателя надежности и качества</t>
  </si>
  <si>
    <t>ФСК</t>
  </si>
  <si>
    <t>ТСО</t>
  </si>
  <si>
    <t>Коэффициенты допустимого отклонения показателей надежности и качества</t>
  </si>
  <si>
    <t>Организация/период</t>
  </si>
  <si>
    <t>К показателю надежности</t>
  </si>
  <si>
    <t>К показателю качества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</si>
  <si>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</si>
  <si>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</si>
  <si>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</si>
  <si>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 xml:space="preserve">Поэтапное (1% в год) от 20% до 15% </t>
  </si>
  <si>
    <t>ТСО - пилоты 1-2-й очереди (переход на долгосрочное регулирование с 2010 года и ранее)</t>
  </si>
  <si>
    <t>Первые три года первого периода регулирования</t>
  </si>
  <si>
    <t>Прочие ТСО</t>
  </si>
  <si>
    <t>Последующие годы первого периода регулирования</t>
  </si>
  <si>
    <t xml:space="preserve">Поэтапное (1% в год) от 30% до 25% </t>
  </si>
  <si>
    <t>Переход на долгосрочное регулирование ТСО</t>
  </si>
  <si>
    <t>до 01.07.2010г. (отчет за 1-3 годы 1 ДПР)</t>
  </si>
  <si>
    <t>Коэффициенты значимости коэффициентов надежности и качества</t>
  </si>
  <si>
    <t>Организация</t>
  </si>
  <si>
    <t>Коэффициент надежности</t>
  </si>
  <si>
    <t>Коэффициенты качества</t>
  </si>
  <si>
    <t>V - Расчет корректировки НВВ по показателям надежности и качества</t>
  </si>
  <si>
    <t>Коэффициент корректировки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</si>
  <si>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</si>
  <si>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</si>
  <si>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Максимальный процент корректрировки на текущий год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</si>
  <si>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</si>
  <si>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на 2011 год</t>
  </si>
  <si>
    <t>на 2012 год</t>
  </si>
  <si>
    <t>на 2013 год и далее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</si>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</sst>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h:mm;@"/>
    <numFmt numFmtId="190" formatCode="0.00000000000"/>
    <numFmt numFmtId="191" formatCode="0.000"/>
    <numFmt numFmtId="192" formatCode="0.0%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00"/>
    <numFmt numFmtId="199" formatCode="_(* #,##0.0_);_(* \(#,##0.0\);_(* &quot;-&quot;??_);_(@_)"/>
    <numFmt numFmtId="200" formatCode="_(* #,##0_);_(* \(#,##0\);_(* &quot;-&quot;??_);_(@_)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000000000"/>
    <numFmt numFmtId="208" formatCode="0.0000000000000"/>
    <numFmt numFmtId="209" formatCode="0.000000000000000"/>
    <numFmt numFmtId="210" formatCode="0.0000000000000000"/>
    <numFmt numFmtId="211" formatCode="0.00000000000000000"/>
    <numFmt numFmtId="212" formatCode="0.000000000000000000"/>
    <numFmt numFmtId="213" formatCode="0.0000"/>
    <numFmt numFmtId="214" formatCode="_(* #,##0.000_);_(* \(#,##0.000\);_(* &quot;-&quot;??_);_(@_)"/>
    <numFmt numFmtId="215" formatCode="_-* #,##0.0_р_._-;\-* #,##0.0_р_._-;_-* &quot;-&quot;??_р_._-;_-@_-"/>
    <numFmt numFmtId="216" formatCode="_-* #,##0_р_._-;\-* #,##0_р_._-;_-* &quot;-&quot;??_р_._-;_-@_-"/>
    <numFmt numFmtId="217" formatCode="_-* #,##0.0000_р_._-;\-* #,##0.0000_р_._-;_-* &quot;-&quot;????_р_._-;_-@_-"/>
    <numFmt numFmtId="218" formatCode="0.0000%"/>
    <numFmt numFmtId="219" formatCode="#,##0.000000"/>
    <numFmt numFmtId="220" formatCode="#,##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Roman"/>
      <family val="0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ck"/>
    </border>
    <border>
      <left/>
      <right/>
      <top style="thick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89" fontId="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10" xfId="93" applyFont="1" applyBorder="1" applyAlignment="1" applyProtection="1">
      <alignment horizontal="justify" vertical="top" wrapText="1"/>
      <protection/>
    </xf>
    <xf numFmtId="0" fontId="24" fillId="0" borderId="10" xfId="93" applyFont="1" applyBorder="1" applyAlignment="1" applyProtection="1">
      <alignment horizontal="justify" vertical="top" wrapText="1"/>
      <protection/>
    </xf>
    <xf numFmtId="0" fontId="20" fillId="0" borderId="11" xfId="93" applyFont="1" applyBorder="1" applyAlignment="1" applyProtection="1">
      <alignment horizontal="justify" wrapText="1"/>
      <protection/>
    </xf>
    <xf numFmtId="0" fontId="24" fillId="0" borderId="11" xfId="93" applyFont="1" applyBorder="1" applyAlignment="1" applyProtection="1">
      <alignment horizontal="justify" vertical="top" wrapText="1"/>
      <protection/>
    </xf>
    <xf numFmtId="0" fontId="20" fillId="0" borderId="10" xfId="93" applyFont="1" applyBorder="1" applyAlignment="1" applyProtection="1">
      <alignment horizontal="justify" wrapText="1"/>
      <protection/>
    </xf>
    <xf numFmtId="0" fontId="20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1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188" fontId="23" fillId="0" borderId="13" xfId="0" applyNumberFormat="1" applyFont="1" applyBorder="1" applyAlignment="1" applyProtection="1">
      <alignment horizontal="center" vertical="center" wrapText="1"/>
      <protection/>
    </xf>
    <xf numFmtId="188" fontId="20" fillId="0" borderId="13" xfId="0" applyNumberFormat="1" applyFont="1" applyBorder="1" applyAlignment="1" applyProtection="1">
      <alignment vertical="center"/>
      <protection/>
    </xf>
    <xf numFmtId="10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12" xfId="0" applyFont="1" applyFill="1" applyBorder="1" applyAlignment="1" applyProtection="1">
      <alignment horizontal="center" vertical="center" wrapText="1"/>
      <protection locked="0"/>
    </xf>
    <xf numFmtId="0" fontId="23" fillId="4" borderId="12" xfId="0" applyNumberFormat="1" applyFont="1" applyFill="1" applyBorder="1" applyAlignment="1" applyProtection="1">
      <alignment horizontal="center" vertical="center" wrapText="1"/>
      <protection/>
    </xf>
    <xf numFmtId="0" fontId="23" fillId="4" borderId="12" xfId="0" applyFont="1" applyFill="1" applyBorder="1" applyAlignment="1" applyProtection="1">
      <alignment horizontal="center" vertical="center" wrapText="1"/>
      <protection/>
    </xf>
    <xf numFmtId="218" fontId="23" fillId="23" borderId="12" xfId="101" applyNumberFormat="1" applyFont="1" applyFill="1" applyBorder="1" applyAlignment="1" applyProtection="1">
      <alignment horizontal="center" vertical="center" wrapText="1"/>
      <protection locked="0"/>
    </xf>
    <xf numFmtId="192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4" borderId="12" xfId="0" applyNumberFormat="1" applyFont="1" applyFill="1" applyBorder="1" applyAlignment="1" applyProtection="1">
      <alignment horizontal="center" vertical="center" wrapText="1"/>
      <protection/>
    </xf>
    <xf numFmtId="188" fontId="23" fillId="4" borderId="13" xfId="0" applyNumberFormat="1" applyFont="1" applyFill="1" applyBorder="1" applyAlignment="1" applyProtection="1">
      <alignment horizontal="center" vertical="center" wrapText="1"/>
      <protection/>
    </xf>
    <xf numFmtId="0" fontId="20" fillId="4" borderId="12" xfId="0" applyNumberFormat="1" applyFont="1" applyFill="1" applyBorder="1" applyAlignment="1" applyProtection="1">
      <alignment horizontal="center" vertical="center" wrapText="1"/>
      <protection/>
    </xf>
    <xf numFmtId="0" fontId="20" fillId="4" borderId="12" xfId="0" applyFont="1" applyFill="1" applyBorder="1" applyAlignment="1" applyProtection="1">
      <alignment horizontal="center" vertical="center" wrapText="1"/>
      <protection/>
    </xf>
    <xf numFmtId="0" fontId="23" fillId="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93" applyFont="1" applyProtection="1">
      <alignment/>
      <protection/>
    </xf>
    <xf numFmtId="0" fontId="20" fillId="0" borderId="0" xfId="93" applyFont="1" applyAlignment="1" applyProtection="1">
      <alignment horizontal="center"/>
      <protection/>
    </xf>
    <xf numFmtId="0" fontId="6" fillId="0" borderId="0" xfId="93" applyProtection="1">
      <alignment/>
      <protection/>
    </xf>
    <xf numFmtId="0" fontId="6" fillId="0" borderId="0" xfId="93" applyFont="1" applyProtection="1">
      <alignment/>
      <protection/>
    </xf>
    <xf numFmtId="188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3" xfId="0" applyNumberFormat="1" applyFont="1" applyFill="1" applyBorder="1" applyAlignment="1" applyProtection="1">
      <alignment horizontal="center" vertical="center" wrapText="1"/>
      <protection/>
    </xf>
    <xf numFmtId="193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10" fontId="23" fillId="23" borderId="12" xfId="101" applyNumberFormat="1" applyFont="1" applyFill="1" applyBorder="1" applyAlignment="1" applyProtection="1">
      <alignment horizontal="center" vertical="center" wrapText="1"/>
      <protection locked="0"/>
    </xf>
    <xf numFmtId="191" fontId="25" fillId="4" borderId="15" xfId="0" applyNumberFormat="1" applyFont="1" applyFill="1" applyBorder="1" applyAlignment="1" applyProtection="1">
      <alignment horizontal="center" vertical="center" wrapText="1"/>
      <protection/>
    </xf>
    <xf numFmtId="188" fontId="23" fillId="4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188" fontId="20" fillId="0" borderId="12" xfId="0" applyNumberFormat="1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188" fontId="20" fillId="0" borderId="13" xfId="0" applyNumberFormat="1" applyFont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188" fontId="23" fillId="0" borderId="13" xfId="0" applyNumberFormat="1" applyFont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190" fontId="20" fillId="0" borderId="13" xfId="0" applyNumberFormat="1" applyFont="1" applyBorder="1" applyAlignment="1" applyProtection="1">
      <alignment/>
      <protection/>
    </xf>
    <xf numFmtId="188" fontId="23" fillId="0" borderId="12" xfId="0" applyNumberFormat="1" applyFont="1" applyBorder="1" applyAlignment="1" applyProtection="1">
      <alignment horizontal="center" vertical="center" wrapText="1"/>
      <protection/>
    </xf>
    <xf numFmtId="190" fontId="23" fillId="0" borderId="13" xfId="0" applyNumberFormat="1" applyFont="1" applyBorder="1" applyAlignment="1" applyProtection="1">
      <alignment horizont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6" fillId="0" borderId="0" xfId="93" applyNumberFormat="1" applyFont="1" applyProtection="1">
      <alignment/>
      <protection/>
    </xf>
    <xf numFmtId="0" fontId="20" fillId="0" borderId="0" xfId="93" applyFont="1" applyBorder="1" applyProtection="1">
      <alignment/>
      <protection/>
    </xf>
    <xf numFmtId="1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2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9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2" fontId="23" fillId="4" borderId="12" xfId="0" applyNumberFormat="1" applyFont="1" applyFill="1" applyBorder="1" applyAlignment="1" applyProtection="1">
      <alignment horizontal="center" vertical="center" wrapText="1"/>
      <protection/>
    </xf>
    <xf numFmtId="188" fontId="23" fillId="0" borderId="12" xfId="0" applyNumberFormat="1" applyFont="1" applyBorder="1" applyAlignment="1" applyProtection="1">
      <alignment horizontal="center" wrapText="1"/>
      <protection/>
    </xf>
    <xf numFmtId="0" fontId="23" fillId="0" borderId="12" xfId="0" applyFont="1" applyBorder="1" applyAlignment="1" applyProtection="1">
      <alignment horizontal="center" wrapText="1"/>
      <protection/>
    </xf>
    <xf numFmtId="188" fontId="20" fillId="0" borderId="12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center" wrapText="1"/>
      <protection/>
    </xf>
    <xf numFmtId="0" fontId="23" fillId="0" borderId="12" xfId="0" applyFont="1" applyFill="1" applyBorder="1" applyAlignment="1" applyProtection="1">
      <alignment horizontal="center" wrapText="1"/>
      <protection/>
    </xf>
    <xf numFmtId="0" fontId="23" fillId="4" borderId="12" xfId="0" applyNumberFormat="1" applyFont="1" applyFill="1" applyBorder="1" applyAlignment="1" applyProtection="1" quotePrefix="1">
      <alignment horizontal="center" vertical="center" wrapText="1"/>
      <protection/>
    </xf>
    <xf numFmtId="2" fontId="25" fillId="4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top" wrapText="1"/>
      <protection/>
    </xf>
    <xf numFmtId="0" fontId="20" fillId="0" borderId="16" xfId="93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 applyProtection="1">
      <alignment horizontal="center" vertical="top" wrapText="1"/>
      <protection/>
    </xf>
    <xf numFmtId="0" fontId="23" fillId="0" borderId="17" xfId="0" applyFont="1" applyFill="1" applyBorder="1" applyAlignment="1" applyProtection="1">
      <alignment horizontal="center" vertical="top" wrapText="1"/>
      <protection/>
    </xf>
    <xf numFmtId="0" fontId="23" fillId="0" borderId="18" xfId="0" applyFont="1" applyFill="1" applyBorder="1" applyAlignment="1" applyProtection="1">
      <alignment horizontal="center" vertical="top" wrapText="1"/>
      <protection/>
    </xf>
    <xf numFmtId="0" fontId="19" fillId="0" borderId="0" xfId="93" applyFont="1" applyFill="1" applyAlignment="1" applyProtection="1">
      <alignment horizontal="center" wrapText="1"/>
      <protection/>
    </xf>
    <xf numFmtId="0" fontId="20" fillId="0" borderId="0" xfId="93" applyFont="1" applyFill="1" applyBorder="1" applyAlignment="1" applyProtection="1">
      <alignment horizontal="center"/>
      <protection/>
    </xf>
    <xf numFmtId="0" fontId="20" fillId="0" borderId="0" xfId="93" applyNumberFormat="1" applyFont="1" applyFill="1" applyBorder="1" applyProtection="1">
      <alignment/>
      <protection/>
    </xf>
    <xf numFmtId="0" fontId="20" fillId="0" borderId="0" xfId="93" applyFont="1" applyFill="1" applyBorder="1" applyProtection="1">
      <alignment/>
      <protection/>
    </xf>
    <xf numFmtId="0" fontId="20" fillId="0" borderId="0" xfId="93" applyFont="1" applyFill="1" applyProtection="1">
      <alignment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0" xfId="93" applyFont="1" applyFill="1" applyAlignment="1" applyProtection="1">
      <alignment horizontal="center"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center" vertical="center" wrapText="1"/>
    </xf>
    <xf numFmtId="201" fontId="29" fillId="0" borderId="1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23" fillId="0" borderId="0" xfId="92" applyFont="1" applyBorder="1" applyAlignment="1">
      <alignment horizontal="left"/>
      <protection/>
    </xf>
    <xf numFmtId="0" fontId="23" fillId="0" borderId="0" xfId="92" applyFont="1" applyBorder="1" applyAlignment="1">
      <alignment horizontal="right"/>
      <protection/>
    </xf>
    <xf numFmtId="0" fontId="30" fillId="0" borderId="0" xfId="92" applyFont="1" applyBorder="1" applyAlignment="1">
      <alignment horizontal="left" vertical="top"/>
      <protection/>
    </xf>
    <xf numFmtId="0" fontId="30" fillId="0" borderId="25" xfId="92" applyFont="1" applyBorder="1" applyAlignment="1">
      <alignment horizontal="left" vertical="top"/>
      <protection/>
    </xf>
    <xf numFmtId="0" fontId="30" fillId="0" borderId="26" xfId="92" applyNumberFormat="1" applyFont="1" applyBorder="1" applyAlignment="1">
      <alignment horizontal="left" vertical="top" wrapText="1"/>
      <protection/>
    </xf>
    <xf numFmtId="49" fontId="30" fillId="0" borderId="25" xfId="92" applyNumberFormat="1" applyFont="1" applyBorder="1" applyAlignment="1">
      <alignment horizontal="left" vertical="top"/>
      <protection/>
    </xf>
    <xf numFmtId="0" fontId="30" fillId="0" borderId="0" xfId="92" applyFont="1" applyBorder="1" applyAlignment="1">
      <alignment horizontal="left"/>
      <protection/>
    </xf>
    <xf numFmtId="0" fontId="30" fillId="0" borderId="0" xfId="92" applyFont="1" applyBorder="1" applyAlignment="1">
      <alignment horizontal="left" vertical="center"/>
      <protection/>
    </xf>
    <xf numFmtId="0" fontId="30" fillId="0" borderId="26" xfId="92" applyFont="1" applyBorder="1" applyAlignment="1">
      <alignment horizontal="left" vertical="top"/>
      <protection/>
    </xf>
    <xf numFmtId="49" fontId="30" fillId="0" borderId="27" xfId="92" applyNumberFormat="1" applyFont="1" applyBorder="1" applyAlignment="1">
      <alignment horizontal="left" vertical="top"/>
      <protection/>
    </xf>
    <xf numFmtId="0" fontId="30" fillId="0" borderId="28" xfId="92" applyNumberFormat="1" applyFont="1" applyBorder="1" applyAlignment="1">
      <alignment horizontal="left" vertical="top" wrapText="1"/>
      <protection/>
    </xf>
    <xf numFmtId="0" fontId="30" fillId="0" borderId="27" xfId="92" applyFont="1" applyBorder="1" applyAlignment="1">
      <alignment horizontal="left" vertical="top"/>
      <protection/>
    </xf>
    <xf numFmtId="0" fontId="30" fillId="0" borderId="28" xfId="92" applyFont="1" applyBorder="1" applyAlignment="1">
      <alignment horizontal="left" vertical="top"/>
      <protection/>
    </xf>
    <xf numFmtId="49" fontId="30" fillId="0" borderId="29" xfId="92" applyNumberFormat="1" applyFont="1" applyBorder="1" applyAlignment="1">
      <alignment horizontal="left" vertical="top"/>
      <protection/>
    </xf>
    <xf numFmtId="0" fontId="30" fillId="0" borderId="30" xfId="92" applyNumberFormat="1" applyFont="1" applyBorder="1" applyAlignment="1">
      <alignment horizontal="left" vertical="top" wrapText="1"/>
      <protection/>
    </xf>
    <xf numFmtId="0" fontId="30" fillId="0" borderId="29" xfId="92" applyFont="1" applyBorder="1" applyAlignment="1">
      <alignment horizontal="left" vertical="top"/>
      <protection/>
    </xf>
    <xf numFmtId="0" fontId="30" fillId="0" borderId="30" xfId="92" applyFont="1" applyBorder="1" applyAlignment="1">
      <alignment horizontal="left" vertical="top"/>
      <protection/>
    </xf>
    <xf numFmtId="49" fontId="30" fillId="0" borderId="0" xfId="92" applyNumberFormat="1" applyFont="1" applyBorder="1" applyAlignment="1">
      <alignment horizontal="left"/>
      <protection/>
    </xf>
    <xf numFmtId="0" fontId="34" fillId="0" borderId="0" xfId="92" applyFont="1" applyBorder="1" applyAlignment="1">
      <alignment horizontal="left"/>
      <protection/>
    </xf>
    <xf numFmtId="0" fontId="35" fillId="0" borderId="0" xfId="92" applyFont="1" applyBorder="1" applyAlignment="1">
      <alignment horizontal="left"/>
      <protection/>
    </xf>
    <xf numFmtId="0" fontId="30" fillId="0" borderId="31" xfId="92" applyFont="1" applyBorder="1" applyAlignment="1">
      <alignment horizontal="left"/>
      <protection/>
    </xf>
    <xf numFmtId="0" fontId="30" fillId="0" borderId="28" xfId="92" applyFont="1" applyBorder="1" applyAlignment="1">
      <alignment horizontal="left"/>
      <protection/>
    </xf>
    <xf numFmtId="0" fontId="30" fillId="0" borderId="27" xfId="92" applyFont="1" applyBorder="1" applyAlignment="1">
      <alignment horizontal="left"/>
      <protection/>
    </xf>
    <xf numFmtId="0" fontId="30" fillId="0" borderId="32" xfId="92" applyFont="1" applyBorder="1" applyAlignment="1">
      <alignment horizontal="left"/>
      <protection/>
    </xf>
    <xf numFmtId="0" fontId="30" fillId="0" borderId="33" xfId="92" applyFont="1" applyBorder="1" applyAlignment="1">
      <alignment horizontal="left"/>
      <protection/>
    </xf>
    <xf numFmtId="0" fontId="30" fillId="0" borderId="29" xfId="92" applyFont="1" applyBorder="1" applyAlignment="1">
      <alignment horizontal="left"/>
      <protection/>
    </xf>
    <xf numFmtId="49" fontId="30" fillId="0" borderId="25" xfId="92" applyNumberFormat="1" applyFont="1" applyFill="1" applyBorder="1" applyAlignment="1">
      <alignment horizontal="left" vertical="top" wrapText="1"/>
      <protection/>
    </xf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92" applyFont="1" applyBorder="1" applyAlignment="1">
      <alignment horizontal="center" vertical="top"/>
      <protection/>
    </xf>
    <xf numFmtId="0" fontId="23" fillId="0" borderId="0" xfId="92" applyFont="1" applyBorder="1" applyAlignment="1">
      <alignment horizontal="center"/>
      <protection/>
    </xf>
    <xf numFmtId="49" fontId="30" fillId="0" borderId="12" xfId="92" applyNumberFormat="1" applyFont="1" applyBorder="1" applyAlignment="1">
      <alignment horizontal="center"/>
      <protection/>
    </xf>
    <xf numFmtId="0" fontId="30" fillId="0" borderId="12" xfId="92" applyFont="1" applyFill="1" applyBorder="1" applyAlignment="1">
      <alignment horizontal="center"/>
      <protection/>
    </xf>
    <xf numFmtId="0" fontId="30" fillId="0" borderId="12" xfId="92" applyFont="1" applyBorder="1" applyAlignment="1">
      <alignment horizontal="center"/>
      <protection/>
    </xf>
    <xf numFmtId="49" fontId="23" fillId="0" borderId="34" xfId="92" applyNumberFormat="1" applyFont="1" applyBorder="1" applyAlignment="1">
      <alignment horizontal="center"/>
      <protection/>
    </xf>
    <xf numFmtId="0" fontId="30" fillId="0" borderId="25" xfId="92" applyFont="1" applyBorder="1" applyAlignment="1">
      <alignment horizontal="center" vertical="top" wrapText="1"/>
      <protection/>
    </xf>
    <xf numFmtId="0" fontId="30" fillId="0" borderId="35" xfId="92" applyFont="1" applyBorder="1" applyAlignment="1">
      <alignment horizontal="center" vertical="top" wrapText="1"/>
      <protection/>
    </xf>
    <xf numFmtId="0" fontId="30" fillId="0" borderId="26" xfId="92" applyFont="1" applyBorder="1" applyAlignment="1">
      <alignment horizontal="center" vertical="top" wrapText="1"/>
      <protection/>
    </xf>
    <xf numFmtId="0" fontId="30" fillId="0" borderId="31" xfId="92" applyFont="1" applyFill="1" applyBorder="1" applyAlignment="1">
      <alignment horizontal="left" vertical="top" wrapText="1"/>
      <protection/>
    </xf>
    <xf numFmtId="0" fontId="30" fillId="0" borderId="28" xfId="92" applyFont="1" applyFill="1" applyBorder="1" applyAlignment="1">
      <alignment horizontal="left" vertical="top" wrapText="1"/>
      <protection/>
    </xf>
    <xf numFmtId="0" fontId="30" fillId="0" borderId="34" xfId="92" applyFont="1" applyFill="1" applyBorder="1" applyAlignment="1">
      <alignment horizontal="left" vertical="top" wrapText="1"/>
      <protection/>
    </xf>
    <xf numFmtId="0" fontId="30" fillId="0" borderId="30" xfId="92" applyFont="1" applyFill="1" applyBorder="1" applyAlignment="1">
      <alignment horizontal="left" vertical="top" wrapText="1"/>
      <protection/>
    </xf>
    <xf numFmtId="49" fontId="30" fillId="0" borderId="34" xfId="92" applyNumberFormat="1" applyFont="1" applyFill="1" applyBorder="1" applyAlignment="1">
      <alignment horizontal="left" vertical="top" wrapText="1"/>
      <protection/>
    </xf>
    <xf numFmtId="49" fontId="30" fillId="0" borderId="30" xfId="92" applyNumberFormat="1" applyFont="1" applyFill="1" applyBorder="1" applyAlignment="1">
      <alignment horizontal="left" vertical="top" wrapText="1"/>
      <protection/>
    </xf>
    <xf numFmtId="201" fontId="30" fillId="0" borderId="35" xfId="92" applyNumberFormat="1" applyFont="1" applyFill="1" applyBorder="1" applyAlignment="1">
      <alignment horizontal="center" vertical="center"/>
      <protection/>
    </xf>
    <xf numFmtId="201" fontId="30" fillId="0" borderId="26" xfId="92" applyNumberFormat="1" applyFont="1" applyFill="1" applyBorder="1" applyAlignment="1">
      <alignment horizontal="center" vertical="center"/>
      <protection/>
    </xf>
    <xf numFmtId="0" fontId="30" fillId="0" borderId="31" xfId="92" applyFont="1" applyFill="1" applyBorder="1" applyAlignment="1">
      <alignment horizontal="center" vertical="center"/>
      <protection/>
    </xf>
    <xf numFmtId="0" fontId="30" fillId="0" borderId="28" xfId="92" applyFont="1" applyFill="1" applyBorder="1" applyAlignment="1">
      <alignment horizontal="center" vertical="center"/>
      <protection/>
    </xf>
    <xf numFmtId="0" fontId="30" fillId="0" borderId="34" xfId="92" applyFont="1" applyFill="1" applyBorder="1" applyAlignment="1">
      <alignment horizontal="center" vertical="center"/>
      <protection/>
    </xf>
    <xf numFmtId="0" fontId="30" fillId="0" borderId="30" xfId="92" applyFont="1" applyFill="1" applyBorder="1" applyAlignment="1">
      <alignment horizontal="center" vertical="center"/>
      <protection/>
    </xf>
    <xf numFmtId="0" fontId="23" fillId="0" borderId="0" xfId="92" applyFont="1" applyBorder="1" applyAlignment="1">
      <alignment horizontal="center" wrapText="1"/>
      <protection/>
    </xf>
    <xf numFmtId="0" fontId="23" fillId="0" borderId="34" xfId="92" applyFont="1" applyBorder="1" applyAlignment="1">
      <alignment horizontal="center"/>
      <protection/>
    </xf>
    <xf numFmtId="0" fontId="30" fillId="0" borderId="31" xfId="92" applyFont="1" applyBorder="1" applyAlignment="1">
      <alignment horizontal="left"/>
      <protection/>
    </xf>
    <xf numFmtId="49" fontId="30" fillId="0" borderId="35" xfId="92" applyNumberFormat="1" applyFont="1" applyBorder="1" applyAlignment="1">
      <alignment horizontal="center"/>
      <protection/>
    </xf>
    <xf numFmtId="0" fontId="23" fillId="0" borderId="0" xfId="0" applyFont="1" applyAlignment="1">
      <alignment horizontal="right"/>
    </xf>
    <xf numFmtId="0" fontId="19" fillId="0" borderId="0" xfId="93" applyFont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top"/>
      <protection/>
    </xf>
    <xf numFmtId="0" fontId="20" fillId="0" borderId="36" xfId="93" applyFont="1" applyFill="1" applyBorder="1" applyAlignment="1" applyProtection="1">
      <alignment horizontal="center" vertical="center" wrapText="1"/>
      <protection/>
    </xf>
    <xf numFmtId="0" fontId="20" fillId="0" borderId="10" xfId="93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/>
      <protection/>
    </xf>
    <xf numFmtId="0" fontId="21" fillId="0" borderId="38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 vertical="top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93" applyAlignment="1" applyProtection="1">
      <alignment horizontal="center"/>
      <protection/>
    </xf>
    <xf numFmtId="0" fontId="19" fillId="0" borderId="0" xfId="93" applyFont="1" applyAlignment="1" applyProtection="1">
      <alignment horizontal="center" wrapText="1"/>
      <protection locked="0"/>
    </xf>
    <xf numFmtId="0" fontId="26" fillId="0" borderId="37" xfId="0" applyFont="1" applyFill="1" applyBorder="1" applyAlignment="1" applyProtection="1">
      <alignment horizontal="center"/>
      <protection/>
    </xf>
    <xf numFmtId="0" fontId="26" fillId="0" borderId="38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3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0" fillId="0" borderId="35" xfId="92" applyNumberFormat="1" applyFont="1" applyBorder="1" applyAlignment="1">
      <alignment horizontal="justify" vertical="top" wrapText="1"/>
      <protection/>
    </xf>
    <xf numFmtId="49" fontId="30" fillId="0" borderId="25" xfId="92" applyNumberFormat="1" applyFont="1" applyBorder="1" applyAlignment="1">
      <alignment horizontal="center" vertical="top"/>
      <protection/>
    </xf>
    <xf numFmtId="49" fontId="30" fillId="0" borderId="35" xfId="92" applyNumberFormat="1" applyFont="1" applyBorder="1" applyAlignment="1">
      <alignment horizontal="center" vertical="top"/>
      <protection/>
    </xf>
    <xf numFmtId="49" fontId="30" fillId="0" borderId="26" xfId="92" applyNumberFormat="1" applyFont="1" applyBorder="1" applyAlignment="1">
      <alignment horizontal="center" vertical="top"/>
      <protection/>
    </xf>
    <xf numFmtId="0" fontId="30" fillId="0" borderId="31" xfId="92" applyNumberFormat="1" applyFont="1" applyBorder="1" applyAlignment="1">
      <alignment horizontal="justify" vertical="top" wrapText="1"/>
      <protection/>
    </xf>
    <xf numFmtId="0" fontId="30" fillId="0" borderId="34" xfId="92" applyNumberFormat="1" applyFont="1" applyBorder="1" applyAlignment="1">
      <alignment horizontal="justify" vertical="top" wrapText="1"/>
      <protection/>
    </xf>
    <xf numFmtId="49" fontId="30" fillId="0" borderId="27" xfId="92" applyNumberFormat="1" applyFont="1" applyBorder="1" applyAlignment="1">
      <alignment horizontal="center" vertical="top"/>
      <protection/>
    </xf>
    <xf numFmtId="49" fontId="30" fillId="0" borderId="31" xfId="92" applyNumberFormat="1" applyFont="1" applyBorder="1" applyAlignment="1">
      <alignment horizontal="center" vertical="top"/>
      <protection/>
    </xf>
    <xf numFmtId="49" fontId="30" fillId="0" borderId="28" xfId="92" applyNumberFormat="1" applyFont="1" applyBorder="1" applyAlignment="1">
      <alignment horizontal="center" vertical="top"/>
      <protection/>
    </xf>
    <xf numFmtId="49" fontId="30" fillId="0" borderId="29" xfId="92" applyNumberFormat="1" applyFont="1" applyBorder="1" applyAlignment="1">
      <alignment horizontal="center" vertical="top"/>
      <protection/>
    </xf>
    <xf numFmtId="49" fontId="30" fillId="0" borderId="34" xfId="92" applyNumberFormat="1" applyFont="1" applyBorder="1" applyAlignment="1">
      <alignment horizontal="center" vertical="top"/>
      <protection/>
    </xf>
    <xf numFmtId="49" fontId="30" fillId="0" borderId="30" xfId="92" applyNumberFormat="1" applyFont="1" applyBorder="1" applyAlignment="1">
      <alignment horizontal="center" vertical="top"/>
      <protection/>
    </xf>
    <xf numFmtId="0" fontId="30" fillId="0" borderId="31" xfId="92" applyFont="1" applyBorder="1" applyAlignment="1">
      <alignment horizontal="justify" vertical="top" wrapText="1"/>
      <protection/>
    </xf>
    <xf numFmtId="0" fontId="30" fillId="0" borderId="34" xfId="92" applyFont="1" applyBorder="1" applyAlignment="1">
      <alignment horizontal="center" vertical="top" wrapText="1"/>
      <protection/>
    </xf>
    <xf numFmtId="0" fontId="23" fillId="0" borderId="34" xfId="92" applyFont="1" applyBorder="1" applyAlignment="1">
      <alignment horizontal="center" wrapText="1"/>
      <protection/>
    </xf>
    <xf numFmtId="0" fontId="30" fillId="0" borderId="27" xfId="92" applyFont="1" applyBorder="1" applyAlignment="1">
      <alignment horizontal="center" vertical="center" wrapText="1"/>
      <protection/>
    </xf>
    <xf numFmtId="0" fontId="30" fillId="0" borderId="31" xfId="92" applyFont="1" applyBorder="1" applyAlignment="1">
      <alignment horizontal="center" vertical="center" wrapText="1"/>
      <protection/>
    </xf>
    <xf numFmtId="0" fontId="30" fillId="0" borderId="28" xfId="92" applyFont="1" applyBorder="1" applyAlignment="1">
      <alignment horizontal="center" vertical="center" wrapText="1"/>
      <protection/>
    </xf>
    <xf numFmtId="0" fontId="30" fillId="0" borderId="35" xfId="92" applyFont="1" applyBorder="1" applyAlignment="1">
      <alignment horizontal="justify" vertical="top" wrapText="1"/>
      <protection/>
    </xf>
    <xf numFmtId="49" fontId="30" fillId="0" borderId="25" xfId="92" applyNumberFormat="1" applyFont="1" applyBorder="1" applyAlignment="1">
      <alignment horizontal="center" vertical="top" wrapText="1"/>
      <protection/>
    </xf>
    <xf numFmtId="0" fontId="30" fillId="0" borderId="25" xfId="92" applyFont="1" applyBorder="1" applyAlignment="1">
      <alignment horizontal="center" vertical="top"/>
      <protection/>
    </xf>
    <xf numFmtId="0" fontId="30" fillId="0" borderId="35" xfId="92" applyFont="1" applyBorder="1" applyAlignment="1">
      <alignment horizontal="center" vertical="top"/>
      <protection/>
    </xf>
    <xf numFmtId="0" fontId="30" fillId="0" borderId="26" xfId="92" applyFont="1" applyBorder="1" applyAlignment="1">
      <alignment horizontal="center" vertical="top"/>
      <protection/>
    </xf>
    <xf numFmtId="0" fontId="30" fillId="0" borderId="35" xfId="92" applyNumberFormat="1" applyFont="1" applyBorder="1" applyAlignment="1">
      <alignment horizontal="left" vertical="top" wrapText="1"/>
      <protection/>
    </xf>
    <xf numFmtId="0" fontId="30" fillId="0" borderId="25" xfId="92" applyFont="1" applyFill="1" applyBorder="1" applyAlignment="1">
      <alignment horizontal="center" vertical="top"/>
      <protection/>
    </xf>
    <xf numFmtId="0" fontId="30" fillId="0" borderId="35" xfId="92" applyFont="1" applyFill="1" applyBorder="1" applyAlignment="1">
      <alignment horizontal="center" vertical="top"/>
      <protection/>
    </xf>
    <xf numFmtId="0" fontId="30" fillId="0" borderId="26" xfId="92" applyFont="1" applyFill="1" applyBorder="1" applyAlignment="1">
      <alignment horizontal="center" vertical="top"/>
      <protection/>
    </xf>
    <xf numFmtId="201" fontId="30" fillId="0" borderId="25" xfId="92" applyNumberFormat="1" applyFont="1" applyFill="1" applyBorder="1" applyAlignment="1">
      <alignment horizontal="center" vertical="top"/>
      <protection/>
    </xf>
    <xf numFmtId="201" fontId="30" fillId="0" borderId="35" xfId="92" applyNumberFormat="1" applyFont="1" applyFill="1" applyBorder="1" applyAlignment="1">
      <alignment horizontal="center" vertical="top"/>
      <protection/>
    </xf>
    <xf numFmtId="201" fontId="30" fillId="0" borderId="26" xfId="92" applyNumberFormat="1" applyFont="1" applyFill="1" applyBorder="1" applyAlignment="1">
      <alignment horizontal="center" vertical="top"/>
      <protection/>
    </xf>
    <xf numFmtId="0" fontId="30" fillId="0" borderId="27" xfId="92" applyFont="1" applyBorder="1" applyAlignment="1">
      <alignment horizontal="center" vertical="top" wrapText="1"/>
      <protection/>
    </xf>
    <xf numFmtId="0" fontId="30" fillId="0" borderId="31" xfId="92" applyFont="1" applyBorder="1" applyAlignment="1">
      <alignment horizontal="center" vertical="top" wrapText="1"/>
      <protection/>
    </xf>
    <xf numFmtId="0" fontId="30" fillId="0" borderId="28" xfId="92" applyFont="1" applyBorder="1" applyAlignment="1">
      <alignment horizontal="center" vertical="top" wrapText="1"/>
      <protection/>
    </xf>
    <xf numFmtId="0" fontId="39" fillId="0" borderId="0" xfId="0" applyFont="1" applyAlignment="1" applyProtection="1">
      <alignment/>
      <protection/>
    </xf>
    <xf numFmtId="0" fontId="40" fillId="24" borderId="39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/>
      <protection/>
    </xf>
    <xf numFmtId="0" fontId="39" fillId="0" borderId="40" xfId="0" applyFont="1" applyFill="1" applyBorder="1" applyAlignment="1" applyProtection="1">
      <alignment horizontal="center" vertical="top"/>
      <protection/>
    </xf>
    <xf numFmtId="0" fontId="41" fillId="0" borderId="0" xfId="0" applyFont="1" applyAlignment="1" applyProtection="1">
      <alignment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42" fillId="0" borderId="41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top" wrapText="1"/>
      <protection/>
    </xf>
    <xf numFmtId="0" fontId="39" fillId="0" borderId="12" xfId="0" applyFont="1" applyFill="1" applyBorder="1" applyAlignment="1" applyProtection="1">
      <alignment vertical="top" wrapText="1"/>
      <protection/>
    </xf>
    <xf numFmtId="3" fontId="39" fillId="0" borderId="12" xfId="0" applyNumberFormat="1" applyFont="1" applyFill="1" applyBorder="1" applyAlignment="1" applyProtection="1">
      <alignment horizontal="center" vertical="center"/>
      <protection/>
    </xf>
    <xf numFmtId="3" fontId="39" fillId="24" borderId="12" xfId="0" applyNumberFormat="1" applyFont="1" applyFill="1" applyBorder="1" applyAlignment="1" applyProtection="1">
      <alignment horizontal="center" vertical="center"/>
      <protection locked="0"/>
    </xf>
    <xf numFmtId="3" fontId="39" fillId="22" borderId="12" xfId="0" applyNumberFormat="1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20" borderId="12" xfId="0" applyFont="1" applyFill="1" applyBorder="1" applyAlignment="1" applyProtection="1">
      <alignment/>
      <protection/>
    </xf>
    <xf numFmtId="3" fontId="42" fillId="20" borderId="12" xfId="0" applyNumberFormat="1" applyFont="1" applyFill="1" applyBorder="1" applyAlignment="1" applyProtection="1">
      <alignment horizontal="center" vertical="center"/>
      <protection/>
    </xf>
    <xf numFmtId="220" fontId="42" fillId="20" borderId="12" xfId="0" applyNumberFormat="1" applyFont="1" applyFill="1" applyBorder="1" applyAlignment="1" applyProtection="1">
      <alignment horizontal="center" vertical="center"/>
      <protection/>
    </xf>
    <xf numFmtId="4" fontId="42" fillId="2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horizontal="center"/>
      <protection/>
    </xf>
    <xf numFmtId="0" fontId="43" fillId="20" borderId="25" xfId="0" applyFont="1" applyFill="1" applyBorder="1" applyAlignment="1" applyProtection="1">
      <alignment vertical="top" wrapText="1"/>
      <protection/>
    </xf>
    <xf numFmtId="0" fontId="43" fillId="20" borderId="35" xfId="0" applyFont="1" applyFill="1" applyBorder="1" applyAlignment="1" applyProtection="1">
      <alignment vertical="top" wrapText="1"/>
      <protection/>
    </xf>
    <xf numFmtId="3" fontId="43" fillId="20" borderId="35" xfId="0" applyNumberFormat="1" applyFont="1" applyFill="1" applyBorder="1" applyAlignment="1" applyProtection="1">
      <alignment horizontal="center" vertical="center"/>
      <protection/>
    </xf>
    <xf numFmtId="3" fontId="43" fillId="20" borderId="26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vertical="top" wrapText="1"/>
      <protection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4" fontId="42" fillId="4" borderId="12" xfId="0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vertical="top" wrapText="1"/>
      <protection/>
    </xf>
    <xf numFmtId="3" fontId="39" fillId="0" borderId="12" xfId="0" applyNumberFormat="1" applyFont="1" applyBorder="1" applyAlignment="1" applyProtection="1">
      <alignment horizontal="center" vertical="center"/>
      <protection/>
    </xf>
    <xf numFmtId="10" fontId="39" fillId="22" borderId="12" xfId="101" applyNumberFormat="1" applyFont="1" applyFill="1" applyBorder="1" applyAlignment="1" applyProtection="1">
      <alignment horizontal="center" vertical="center"/>
      <protection locked="0"/>
    </xf>
    <xf numFmtId="9" fontId="39" fillId="4" borderId="12" xfId="101" applyFont="1" applyFill="1" applyBorder="1" applyAlignment="1" applyProtection="1">
      <alignment horizontal="center" vertical="center"/>
      <protection/>
    </xf>
    <xf numFmtId="4" fontId="39" fillId="4" borderId="12" xfId="0" applyNumberFormat="1" applyFont="1" applyFill="1" applyBorder="1" applyAlignment="1" applyProtection="1">
      <alignment horizontal="center" vertical="center"/>
      <protection/>
    </xf>
    <xf numFmtId="4" fontId="39" fillId="22" borderId="12" xfId="0" applyNumberFormat="1" applyFont="1" applyFill="1" applyBorder="1" applyAlignment="1" applyProtection="1">
      <alignment horizontal="center" vertical="center"/>
      <protection locked="0"/>
    </xf>
    <xf numFmtId="9" fontId="39" fillId="0" borderId="12" xfId="101" applyFont="1" applyFill="1" applyBorder="1" applyAlignment="1" applyProtection="1">
      <alignment horizontal="center" vertical="center"/>
      <protection/>
    </xf>
    <xf numFmtId="4" fontId="42" fillId="22" borderId="12" xfId="0" applyNumberFormat="1" applyFont="1" applyFill="1" applyBorder="1" applyAlignment="1" applyProtection="1">
      <alignment horizontal="center" vertical="center"/>
      <protection locked="0"/>
    </xf>
    <xf numFmtId="9" fontId="42" fillId="4" borderId="12" xfId="101" applyFont="1" applyFill="1" applyBorder="1" applyAlignment="1" applyProtection="1">
      <alignment horizontal="center" vertical="center"/>
      <protection/>
    </xf>
    <xf numFmtId="10" fontId="42" fillId="4" borderId="12" xfId="101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Border="1" applyAlignment="1" applyProtection="1">
      <alignment horizontal="center" vertical="center"/>
      <protection/>
    </xf>
    <xf numFmtId="0" fontId="42" fillId="20" borderId="12" xfId="0" applyFont="1" applyFill="1" applyBorder="1" applyAlignment="1" applyProtection="1">
      <alignment vertical="top" wrapText="1"/>
      <protection/>
    </xf>
    <xf numFmtId="4" fontId="43" fillId="20" borderId="35" xfId="0" applyNumberFormat="1" applyFont="1" applyFill="1" applyBorder="1" applyAlignment="1" applyProtection="1">
      <alignment horizontal="center" vertical="center"/>
      <protection/>
    </xf>
    <xf numFmtId="4" fontId="43" fillId="20" borderId="26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vertical="top" wrapText="1"/>
      <protection/>
    </xf>
    <xf numFmtId="4" fontId="42" fillId="0" borderId="12" xfId="0" applyNumberFormat="1" applyFont="1" applyBorder="1" applyAlignment="1" applyProtection="1">
      <alignment horizontal="center" vertical="center"/>
      <protection/>
    </xf>
    <xf numFmtId="4" fontId="39" fillId="0" borderId="12" xfId="0" applyNumberFormat="1" applyFont="1" applyBorder="1" applyAlignment="1" applyProtection="1">
      <alignment horizontal="center" vertical="center"/>
      <protection/>
    </xf>
    <xf numFmtId="9" fontId="42" fillId="0" borderId="12" xfId="101" applyFont="1" applyFill="1" applyBorder="1" applyAlignment="1" applyProtection="1">
      <alignment horizontal="center" vertical="center"/>
      <protection/>
    </xf>
    <xf numFmtId="9" fontId="39" fillId="4" borderId="12" xfId="101" applyNumberFormat="1" applyFont="1" applyFill="1" applyBorder="1" applyAlignment="1" applyProtection="1">
      <alignment horizontal="center" vertical="center"/>
      <protection/>
    </xf>
    <xf numFmtId="4" fontId="42" fillId="0" borderId="12" xfId="0" applyNumberFormat="1" applyFont="1" applyFill="1" applyBorder="1" applyAlignment="1" applyProtection="1">
      <alignment horizontal="center" vertical="center"/>
      <protection/>
    </xf>
    <xf numFmtId="220" fontId="43" fillId="20" borderId="35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12" xfId="0" applyFont="1" applyBorder="1" applyAlignment="1" applyProtection="1">
      <alignment wrapText="1"/>
      <protection/>
    </xf>
    <xf numFmtId="0" fontId="39" fillId="24" borderId="12" xfId="0" applyFont="1" applyFill="1" applyBorder="1" applyAlignment="1" applyProtection="1">
      <alignment horizontal="center" vertical="center"/>
      <protection locked="0"/>
    </xf>
    <xf numFmtId="213" fontId="42" fillId="20" borderId="12" xfId="0" applyNumberFormat="1" applyFont="1" applyFill="1" applyBorder="1" applyAlignment="1" applyProtection="1">
      <alignment horizontal="center" vertical="center" wrapText="1"/>
      <protection/>
    </xf>
    <xf numFmtId="0" fontId="43" fillId="20" borderId="12" xfId="0" applyFont="1" applyFill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vertical="top"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39" fillId="0" borderId="12" xfId="0" applyFont="1" applyFill="1" applyBorder="1" applyAlignment="1" applyProtection="1">
      <alignment/>
      <protection/>
    </xf>
    <xf numFmtId="220" fontId="39" fillId="4" borderId="12" xfId="0" applyNumberFormat="1" applyFont="1" applyFill="1" applyBorder="1" applyAlignment="1" applyProtection="1">
      <alignment horizontal="center" vertical="center"/>
      <protection/>
    </xf>
    <xf numFmtId="9" fontId="39" fillId="25" borderId="12" xfId="101" applyNumberFormat="1" applyFont="1" applyFill="1" applyBorder="1" applyAlignment="1" applyProtection="1">
      <alignment horizontal="center" vertical="center"/>
      <protection/>
    </xf>
    <xf numFmtId="9" fontId="39" fillId="4" borderId="12" xfId="101" applyFont="1" applyFill="1" applyBorder="1" applyAlignment="1" applyProtection="1">
      <alignment horizontal="center" vertical="center" wrapText="1"/>
      <protection/>
    </xf>
    <xf numFmtId="9" fontId="39" fillId="25" borderId="12" xfId="101" applyFont="1" applyFill="1" applyBorder="1" applyAlignment="1" applyProtection="1">
      <alignment horizontal="center" vertical="center"/>
      <protection locked="0"/>
    </xf>
    <xf numFmtId="3" fontId="39" fillId="4" borderId="12" xfId="101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220" fontId="39" fillId="0" borderId="0" xfId="0" applyNumberFormat="1" applyFont="1" applyFill="1" applyBorder="1" applyAlignment="1" applyProtection="1">
      <alignment horizontal="center" vertical="center"/>
      <protection/>
    </xf>
    <xf numFmtId="9" fontId="39" fillId="0" borderId="0" xfId="101" applyFont="1" applyFill="1" applyBorder="1" applyAlignment="1" applyProtection="1">
      <alignment horizontal="center" vertical="center"/>
      <protection/>
    </xf>
    <xf numFmtId="9" fontId="47" fillId="0" borderId="0" xfId="101" applyFont="1" applyFill="1" applyBorder="1" applyAlignment="1" applyProtection="1">
      <alignment horizontal="center" vertical="center"/>
      <protection/>
    </xf>
    <xf numFmtId="3" fontId="39" fillId="0" borderId="0" xfId="101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/>
      <protection/>
    </xf>
    <xf numFmtId="0" fontId="39" fillId="0" borderId="17" xfId="0" applyFont="1" applyFill="1" applyBorder="1" applyAlignment="1" applyProtection="1">
      <alignment/>
      <protection/>
    </xf>
    <xf numFmtId="4" fontId="39" fillId="4" borderId="17" xfId="0" applyNumberFormat="1" applyFont="1" applyFill="1" applyBorder="1" applyAlignment="1" applyProtection="1">
      <alignment horizontal="center" vertical="center"/>
      <protection/>
    </xf>
    <xf numFmtId="9" fontId="39" fillId="20" borderId="12" xfId="10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vertical="center" wrapText="1"/>
      <protection/>
    </xf>
    <xf numFmtId="9" fontId="39" fillId="0" borderId="12" xfId="101" applyFont="1" applyBorder="1" applyAlignment="1" applyProtection="1">
      <alignment horizontal="center" vertical="center"/>
      <protection/>
    </xf>
    <xf numFmtId="9" fontId="39" fillId="0" borderId="17" xfId="101" applyFont="1" applyBorder="1" applyAlignment="1" applyProtection="1">
      <alignment horizontal="center" vertical="center"/>
      <protection/>
    </xf>
    <xf numFmtId="9" fontId="39" fillId="0" borderId="42" xfId="101" applyFont="1" applyBorder="1" applyAlignment="1" applyProtection="1">
      <alignment horizontal="center" vertical="center"/>
      <protection/>
    </xf>
    <xf numFmtId="9" fontId="39" fillId="0" borderId="12" xfId="101" applyFont="1" applyBorder="1" applyAlignment="1" applyProtection="1">
      <alignment horizontal="center" vertical="center" wrapText="1"/>
      <protection/>
    </xf>
    <xf numFmtId="9" fontId="39" fillId="0" borderId="41" xfId="101" applyFont="1" applyBorder="1" applyAlignment="1" applyProtection="1">
      <alignment horizontal="center" vertical="center"/>
      <protection/>
    </xf>
    <xf numFmtId="0" fontId="42" fillId="20" borderId="25" xfId="0" applyFont="1" applyFill="1" applyBorder="1" applyAlignment="1" applyProtection="1">
      <alignment horizontal="left"/>
      <protection/>
    </xf>
    <xf numFmtId="0" fontId="42" fillId="20" borderId="35" xfId="0" applyFont="1" applyFill="1" applyBorder="1" applyAlignment="1" applyProtection="1">
      <alignment horizontal="left"/>
      <protection/>
    </xf>
    <xf numFmtId="0" fontId="42" fillId="20" borderId="26" xfId="0" applyFont="1" applyFill="1" applyBorder="1" applyAlignment="1" applyProtection="1">
      <alignment horizontal="left"/>
      <protection/>
    </xf>
    <xf numFmtId="9" fontId="39" fillId="0" borderId="25" xfId="101" applyFont="1" applyBorder="1" applyAlignment="1" applyProtection="1">
      <alignment horizontal="center" vertical="center"/>
      <protection/>
    </xf>
    <xf numFmtId="9" fontId="39" fillId="0" borderId="26" xfId="101" applyFont="1" applyBorder="1" applyAlignment="1" applyProtection="1">
      <alignment horizontal="center" vertical="center"/>
      <protection/>
    </xf>
    <xf numFmtId="9" fontId="39" fillId="0" borderId="25" xfId="101" applyFont="1" applyBorder="1" applyAlignment="1" applyProtection="1">
      <alignment horizontal="center" vertical="center" wrapText="1"/>
      <protection/>
    </xf>
    <xf numFmtId="9" fontId="39" fillId="0" borderId="26" xfId="101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9" fontId="39" fillId="22" borderId="25" xfId="101" applyFont="1" applyFill="1" applyBorder="1" applyAlignment="1" applyProtection="1">
      <alignment horizontal="center" vertical="center" wrapText="1"/>
      <protection locked="0"/>
    </xf>
    <xf numFmtId="9" fontId="39" fillId="22" borderId="26" xfId="10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vertical="center" wrapText="1"/>
      <protection/>
    </xf>
    <xf numFmtId="4" fontId="39" fillId="0" borderId="12" xfId="101" applyNumberFormat="1" applyFont="1" applyFill="1" applyBorder="1" applyAlignment="1" applyProtection="1">
      <alignment horizontal="center" vertical="center"/>
      <protection/>
    </xf>
    <xf numFmtId="187" fontId="39" fillId="0" borderId="12" xfId="108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10" fontId="39" fillId="4" borderId="12" xfId="0" applyNumberFormat="1" applyFont="1" applyFill="1" applyBorder="1" applyAlignment="1" applyProtection="1">
      <alignment horizontal="center"/>
      <protection/>
    </xf>
    <xf numFmtId="10" fontId="39" fillId="4" borderId="12" xfId="0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left" indent="1"/>
      <protection/>
    </xf>
    <xf numFmtId="0" fontId="39" fillId="0" borderId="0" xfId="0" applyFont="1" applyBorder="1" applyAlignment="1" applyProtection="1">
      <alignment horizontal="left" indent="1"/>
      <protection/>
    </xf>
    <xf numFmtId="10" fontId="39" fillId="0" borderId="0" xfId="0" applyNumberFormat="1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left"/>
      <protection/>
    </xf>
    <xf numFmtId="220" fontId="39" fillId="0" borderId="12" xfId="0" applyNumberFormat="1" applyFont="1" applyFill="1" applyBorder="1" applyAlignment="1" applyProtection="1">
      <alignment horizontal="left" vertical="center"/>
      <protection/>
    </xf>
    <xf numFmtId="9" fontId="39" fillId="0" borderId="0" xfId="101" applyFont="1" applyAlignment="1" applyProtection="1">
      <alignment/>
      <protection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Обычный_4 мес качество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Процентный 2" xfId="102"/>
    <cellStyle name="Процентный 2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Relationship Id="rId3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12</xdr:row>
      <xdr:rowOff>723900</xdr:rowOff>
    </xdr:from>
    <xdr:to>
      <xdr:col>1</xdr:col>
      <xdr:colOff>1209675</xdr:colOff>
      <xdr:row>12</xdr:row>
      <xdr:rowOff>962025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25755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4057650</xdr:colOff>
      <xdr:row>13</xdr:row>
      <xdr:rowOff>638175</xdr:rowOff>
    </xdr:from>
    <xdr:to>
      <xdr:col>1</xdr:col>
      <xdr:colOff>4638675</xdr:colOff>
      <xdr:row>13</xdr:row>
      <xdr:rowOff>895350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420052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5267325</xdr:colOff>
      <xdr:row>14</xdr:row>
      <xdr:rowOff>133350</xdr:rowOff>
    </xdr:from>
    <xdr:to>
      <xdr:col>1</xdr:col>
      <xdr:colOff>5915025</xdr:colOff>
      <xdr:row>14</xdr:row>
      <xdr:rowOff>409575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4657725"/>
          <a:ext cx="647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3419475</xdr:colOff>
      <xdr:row>13</xdr:row>
      <xdr:rowOff>504825</xdr:rowOff>
    </xdr:from>
    <xdr:to>
      <xdr:col>1</xdr:col>
      <xdr:colOff>3810000</xdr:colOff>
      <xdr:row>13</xdr:row>
      <xdr:rowOff>742950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051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3838575</xdr:colOff>
      <xdr:row>14</xdr:row>
      <xdr:rowOff>542925</xdr:rowOff>
    </xdr:from>
    <xdr:to>
      <xdr:col>1</xdr:col>
      <xdr:colOff>4343400</xdr:colOff>
      <xdr:row>15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9719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15</xdr:row>
      <xdr:rowOff>219075</xdr:rowOff>
    </xdr:from>
    <xdr:to>
      <xdr:col>1</xdr:col>
      <xdr:colOff>2524125</xdr:colOff>
      <xdr:row>16</xdr:row>
      <xdr:rowOff>19050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44196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14</xdr:row>
      <xdr:rowOff>809625</xdr:rowOff>
    </xdr:from>
    <xdr:to>
      <xdr:col>1</xdr:col>
      <xdr:colOff>1247775</xdr:colOff>
      <xdr:row>14</xdr:row>
      <xdr:rowOff>1047750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8290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3971925</xdr:colOff>
      <xdr:row>15</xdr:row>
      <xdr:rowOff>285750</xdr:rowOff>
    </xdr:from>
    <xdr:to>
      <xdr:col>1</xdr:col>
      <xdr:colOff>4410075</xdr:colOff>
      <xdr:row>15</xdr:row>
      <xdr:rowOff>523875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43910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16</xdr:row>
      <xdr:rowOff>352425</xdr:rowOff>
    </xdr:from>
    <xdr:to>
      <xdr:col>1</xdr:col>
      <xdr:colOff>1323975</xdr:colOff>
      <xdr:row>17</xdr:row>
      <xdr:rowOff>9525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504825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4"/>
  <sheetViews>
    <sheetView view="pageBreakPreview" zoomScaleSheetLayoutView="100" zoomScalePageLayoutView="0" workbookViewId="0" topLeftCell="A1">
      <selection activeCell="V32" sqref="V32"/>
    </sheetView>
  </sheetViews>
  <sheetFormatPr defaultColWidth="0.85546875" defaultRowHeight="12.75"/>
  <cols>
    <col min="1" max="108" width="0.85546875" style="94" customWidth="1"/>
    <col min="109" max="109" width="2.140625" style="94" bestFit="1" customWidth="1"/>
    <col min="110" max="121" width="0.85546875" style="94" customWidth="1"/>
    <col min="122" max="122" width="24.8515625" style="94" customWidth="1"/>
    <col min="123" max="16384" width="0.85546875" style="94" customWidth="1"/>
  </cols>
  <sheetData>
    <row r="1" s="88" customFormat="1" ht="15.75">
      <c r="CV1" s="89" t="s">
        <v>64</v>
      </c>
    </row>
    <row r="2" s="88" customFormat="1" ht="15.75"/>
    <row r="3" spans="1:100" s="88" customFormat="1" ht="15.75">
      <c r="A3" s="124" t="s">
        <v>123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</row>
    <row r="4" spans="1:100" s="88" customFormat="1" ht="15.75">
      <c r="A4" s="124" t="s">
        <v>124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</row>
    <row r="5" spans="1:100" s="88" customFormat="1" ht="15.75">
      <c r="A5" s="124" t="s">
        <v>76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</row>
    <row r="6" spans="44:55" s="88" customFormat="1" ht="15.75">
      <c r="AR6" s="89" t="s">
        <v>125</v>
      </c>
      <c r="AS6" s="128" t="s">
        <v>156</v>
      </c>
      <c r="AT6" s="128"/>
      <c r="AU6" s="128"/>
      <c r="AV6" s="128"/>
      <c r="AW6" s="128"/>
      <c r="AX6" s="128"/>
      <c r="AY6" s="128"/>
      <c r="AZ6" s="128"/>
      <c r="BA6" s="128"/>
      <c r="BB6" s="128"/>
      <c r="BC6" s="88" t="s">
        <v>126</v>
      </c>
    </row>
    <row r="7" s="88" customFormat="1" ht="15.75"/>
    <row r="9" spans="1:100" s="90" customFormat="1" ht="45" customHeight="1">
      <c r="A9" s="129" t="s">
        <v>127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1"/>
      <c r="AC9" s="129" t="s">
        <v>128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1"/>
      <c r="BG9" s="129" t="s">
        <v>65</v>
      </c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1"/>
    </row>
    <row r="10" spans="1:100" ht="15">
      <c r="A10" s="127">
        <v>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>
        <v>2</v>
      </c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>
        <v>3</v>
      </c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</row>
    <row r="11" spans="1:100" ht="15">
      <c r="A11" s="125" t="s">
        <v>100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6">
        <v>27</v>
      </c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</row>
    <row r="12" spans="1:100" ht="15">
      <c r="A12" s="125" t="s">
        <v>129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6">
        <v>24</v>
      </c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</row>
    <row r="13" spans="1:100" ht="15">
      <c r="A13" s="125" t="s">
        <v>130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6">
        <v>22</v>
      </c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</row>
    <row r="14" spans="1:100" ht="15">
      <c r="A14" s="125" t="s">
        <v>131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6">
        <v>97</v>
      </c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</row>
    <row r="15" spans="1:100" ht="15">
      <c r="A15" s="125" t="s">
        <v>132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6">
        <v>41</v>
      </c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</row>
    <row r="16" spans="1:100" ht="15">
      <c r="A16" s="125" t="s">
        <v>133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6">
        <v>23</v>
      </c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</row>
    <row r="17" spans="1:100" ht="15">
      <c r="A17" s="125" t="s">
        <v>122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>
        <v>50</v>
      </c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</row>
    <row r="18" spans="1:100" ht="15">
      <c r="A18" s="125" t="s">
        <v>134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6">
        <v>43</v>
      </c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</row>
    <row r="19" spans="1:100" ht="15">
      <c r="A19" s="125" t="s">
        <v>135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6">
        <v>17</v>
      </c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</row>
    <row r="20" spans="1:100" ht="15">
      <c r="A20" s="125" t="s">
        <v>136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6">
        <v>9</v>
      </c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</row>
    <row r="21" spans="1:100" ht="15">
      <c r="A21" s="125" t="s">
        <v>137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6">
        <v>29</v>
      </c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</row>
    <row r="22" spans="1:100" ht="15">
      <c r="A22" s="125" t="s">
        <v>138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6">
        <v>0</v>
      </c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>
        <v>95922</v>
      </c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</row>
    <row r="24" s="106" customFormat="1" ht="15" customHeight="1">
      <c r="F24" s="107" t="s">
        <v>139</v>
      </c>
    </row>
  </sheetData>
  <sheetProtection/>
  <mergeCells count="46">
    <mergeCell ref="A3:CV3"/>
    <mergeCell ref="A4:CV4"/>
    <mergeCell ref="AS6:BB6"/>
    <mergeCell ref="A9:AB9"/>
    <mergeCell ref="AC9:BF9"/>
    <mergeCell ref="BG9:CV9"/>
    <mergeCell ref="A10:AB10"/>
    <mergeCell ref="AC10:BF10"/>
    <mergeCell ref="BG10:CV10"/>
    <mergeCell ref="A11:AB11"/>
    <mergeCell ref="AC11:BF11"/>
    <mergeCell ref="BG11:CV11"/>
    <mergeCell ref="A12:AB12"/>
    <mergeCell ref="AC12:BF12"/>
    <mergeCell ref="BG12:CV12"/>
    <mergeCell ref="A13:AB13"/>
    <mergeCell ref="AC13:BF13"/>
    <mergeCell ref="BG13:CV13"/>
    <mergeCell ref="A14:AB14"/>
    <mergeCell ref="AC14:BF14"/>
    <mergeCell ref="BG14:CV14"/>
    <mergeCell ref="A15:AB15"/>
    <mergeCell ref="AC15:BF15"/>
    <mergeCell ref="BG15:CV15"/>
    <mergeCell ref="A16:AB16"/>
    <mergeCell ref="AC16:BF16"/>
    <mergeCell ref="BG16:CV16"/>
    <mergeCell ref="A17:AB17"/>
    <mergeCell ref="AC17:BF17"/>
    <mergeCell ref="BG17:CV17"/>
    <mergeCell ref="A18:AB18"/>
    <mergeCell ref="AC18:BF18"/>
    <mergeCell ref="BG18:CV18"/>
    <mergeCell ref="A19:AB19"/>
    <mergeCell ref="AC19:BF19"/>
    <mergeCell ref="BG19:CV19"/>
    <mergeCell ref="A20:AB20"/>
    <mergeCell ref="AC20:BF20"/>
    <mergeCell ref="BG20:CV20"/>
    <mergeCell ref="A21:AB21"/>
    <mergeCell ref="AC21:BF21"/>
    <mergeCell ref="BG21:CV21"/>
    <mergeCell ref="A5:CV5"/>
    <mergeCell ref="A22:AB22"/>
    <mergeCell ref="AC22:BF22"/>
    <mergeCell ref="BG22:CV22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SheetLayoutView="100" zoomScalePageLayoutView="0" workbookViewId="0" topLeftCell="A1">
      <selection activeCell="A14" sqref="A14:IV15"/>
    </sheetView>
  </sheetViews>
  <sheetFormatPr defaultColWidth="0.85546875" defaultRowHeight="12.75"/>
  <cols>
    <col min="1" max="16384" width="0.85546875" style="94" customWidth="1"/>
  </cols>
  <sheetData>
    <row r="1" spans="83:100" s="88" customFormat="1" ht="21" customHeight="1">
      <c r="CE1" s="124" t="s">
        <v>153</v>
      </c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</row>
    <row r="2" s="88" customFormat="1" ht="19.5" customHeight="1"/>
    <row r="3" spans="1:100" s="88" customFormat="1" ht="47.25" customHeight="1">
      <c r="A3" s="144" t="s">
        <v>112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</row>
    <row r="4" spans="1:100" s="88" customFormat="1" ht="24" customHeight="1">
      <c r="A4" s="184" t="s">
        <v>76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</row>
    <row r="5" s="88" customFormat="1" ht="17.25" customHeight="1"/>
    <row r="6" spans="1:100" s="95" customFormat="1" ht="45.75" customHeight="1">
      <c r="A6" s="185" t="s">
        <v>78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7"/>
      <c r="AO6" s="185" t="s">
        <v>113</v>
      </c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7"/>
      <c r="BK6" s="185" t="s">
        <v>1</v>
      </c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7"/>
    </row>
    <row r="7" spans="1:100" s="90" customFormat="1" ht="121.5" customHeight="1">
      <c r="A7" s="91"/>
      <c r="B7" s="170" t="s">
        <v>114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92"/>
      <c r="AO7" s="171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3"/>
      <c r="BK7" s="91"/>
      <c r="BL7" s="188" t="s">
        <v>115</v>
      </c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96"/>
    </row>
    <row r="8" spans="1:100" s="90" customFormat="1" ht="15.75" customHeight="1">
      <c r="A8" s="97"/>
      <c r="B8" s="174" t="s">
        <v>116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98"/>
      <c r="AO8" s="176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8"/>
      <c r="BK8" s="99"/>
      <c r="BL8" s="182" t="s">
        <v>117</v>
      </c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00"/>
    </row>
    <row r="9" spans="1:100" s="90" customFormat="1" ht="29.25" customHeight="1">
      <c r="A9" s="101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02"/>
      <c r="AO9" s="179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1"/>
      <c r="BK9" s="10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04"/>
    </row>
    <row r="10" spans="1:100" s="90" customFormat="1" ht="45.75" customHeight="1">
      <c r="A10" s="93"/>
      <c r="B10" s="170" t="s">
        <v>118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92"/>
      <c r="AO10" s="171" t="s">
        <v>119</v>
      </c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3"/>
      <c r="BK10" s="91"/>
      <c r="BL10" s="130">
        <v>0</v>
      </c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96"/>
    </row>
    <row r="11" spans="1:100" s="90" customFormat="1" ht="48" customHeight="1">
      <c r="A11" s="93"/>
      <c r="B11" s="170" t="s">
        <v>120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92"/>
      <c r="AO11" s="171" t="s">
        <v>119</v>
      </c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3"/>
      <c r="BK11" s="91"/>
      <c r="BL11" s="130">
        <v>0</v>
      </c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96"/>
    </row>
    <row r="12" spans="1:100" s="90" customFormat="1" ht="48" customHeight="1">
      <c r="A12" s="93"/>
      <c r="B12" s="170" t="s">
        <v>121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92"/>
      <c r="AO12" s="171" t="s">
        <v>122</v>
      </c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3"/>
      <c r="BK12" s="91"/>
      <c r="BL12" s="130">
        <v>0</v>
      </c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96"/>
    </row>
    <row r="13" ht="17.25" customHeight="1"/>
    <row r="14" spans="1:27" ht="3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</sheetData>
  <sheetProtection/>
  <mergeCells count="22">
    <mergeCell ref="A3:CV3"/>
    <mergeCell ref="A6:AN6"/>
    <mergeCell ref="AO6:BJ6"/>
    <mergeCell ref="BK6:CV6"/>
    <mergeCell ref="B7:AM7"/>
    <mergeCell ref="AO7:BJ7"/>
    <mergeCell ref="BL7:CU7"/>
    <mergeCell ref="A4:CV4"/>
    <mergeCell ref="B12:AM12"/>
    <mergeCell ref="AO12:BJ12"/>
    <mergeCell ref="BL12:CU12"/>
    <mergeCell ref="B8:AM9"/>
    <mergeCell ref="AO8:BJ9"/>
    <mergeCell ref="BL8:CU8"/>
    <mergeCell ref="BL9:CU9"/>
    <mergeCell ref="B10:AM10"/>
    <mergeCell ref="AO10:BJ10"/>
    <mergeCell ref="BL10:CU10"/>
    <mergeCell ref="CE1:CV1"/>
    <mergeCell ref="B11:AM11"/>
    <mergeCell ref="AO11:BJ11"/>
    <mergeCell ref="BL11:CU11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5"/>
  <sheetViews>
    <sheetView tabSelected="1" view="pageBreakPreview" zoomScale="60" zoomScalePageLayoutView="0" workbookViewId="0" topLeftCell="A1">
      <selection activeCell="B12" sqref="B12:B13"/>
    </sheetView>
  </sheetViews>
  <sheetFormatPr defaultColWidth="9.140625" defaultRowHeight="12.75" outlineLevelRow="1"/>
  <cols>
    <col min="1" max="1" width="1.1484375" style="203" customWidth="1"/>
    <col min="2" max="2" width="101.00390625" style="203" customWidth="1"/>
    <col min="3" max="3" width="21.00390625" style="203" customWidth="1"/>
    <col min="4" max="4" width="19.28125" style="203" customWidth="1"/>
    <col min="5" max="5" width="17.28125" style="203" customWidth="1"/>
    <col min="6" max="6" width="17.140625" style="203" customWidth="1"/>
    <col min="7" max="7" width="19.00390625" style="203" customWidth="1"/>
    <col min="8" max="8" width="18.8515625" style="203" customWidth="1"/>
    <col min="9" max="9" width="16.421875" style="203" customWidth="1"/>
    <col min="10" max="10" width="13.140625" style="203" customWidth="1"/>
    <col min="11" max="11" width="16.7109375" style="203" customWidth="1"/>
    <col min="12" max="12" width="13.421875" style="203" customWidth="1"/>
    <col min="13" max="13" width="20.140625" style="203" customWidth="1"/>
    <col min="14" max="14" width="13.28125" style="203" customWidth="1"/>
    <col min="15" max="15" width="16.7109375" style="203" customWidth="1"/>
    <col min="16" max="16384" width="9.140625" style="203" customWidth="1"/>
  </cols>
  <sheetData>
    <row r="1" spans="2:5" ht="40.5" customHeight="1" thickBot="1">
      <c r="B1" s="204" t="s">
        <v>167</v>
      </c>
      <c r="C1" s="204"/>
      <c r="D1" s="204"/>
      <c r="E1" s="204"/>
    </row>
    <row r="2" spans="2:5" s="205" customFormat="1" ht="40.5" customHeight="1" thickTop="1">
      <c r="B2" s="206" t="s">
        <v>168</v>
      </c>
      <c r="C2" s="206"/>
      <c r="D2" s="206"/>
      <c r="E2" s="206"/>
    </row>
    <row r="3" ht="19.5">
      <c r="B3" s="207" t="s">
        <v>169</v>
      </c>
    </row>
    <row r="4" spans="2:5" ht="12.75" customHeight="1">
      <c r="B4" s="208" t="s">
        <v>78</v>
      </c>
      <c r="C4" s="209" t="s">
        <v>170</v>
      </c>
      <c r="D4" s="208" t="s">
        <v>1</v>
      </c>
      <c r="E4" s="208"/>
    </row>
    <row r="5" spans="2:5" ht="12.75">
      <c r="B5" s="208"/>
      <c r="C5" s="210"/>
      <c r="D5" s="211" t="s">
        <v>171</v>
      </c>
      <c r="E5" s="211" t="s">
        <v>172</v>
      </c>
    </row>
    <row r="6" spans="2:5" ht="12.75">
      <c r="B6" s="212">
        <v>1</v>
      </c>
      <c r="C6" s="212">
        <v>2</v>
      </c>
      <c r="D6" s="212">
        <v>3</v>
      </c>
      <c r="E6" s="212">
        <v>4</v>
      </c>
    </row>
    <row r="7" spans="2:5" ht="12.75">
      <c r="B7" s="213" t="s">
        <v>173</v>
      </c>
      <c r="C7" s="214" t="s">
        <v>174</v>
      </c>
      <c r="D7" s="215">
        <v>364</v>
      </c>
      <c r="E7" s="216">
        <v>382</v>
      </c>
    </row>
    <row r="8" spans="2:5" ht="12.75">
      <c r="B8" s="217" t="s">
        <v>175</v>
      </c>
      <c r="C8" s="214" t="s">
        <v>176</v>
      </c>
      <c r="D8" s="216">
        <v>95922</v>
      </c>
      <c r="E8" s="216">
        <v>95922</v>
      </c>
    </row>
    <row r="9" spans="2:5" s="218" customFormat="1" ht="12.75">
      <c r="B9" s="219" t="s">
        <v>177</v>
      </c>
      <c r="C9" s="220" t="s">
        <v>8</v>
      </c>
      <c r="D9" s="221">
        <f>IF(D8=0,0,D7/D8)</f>
        <v>0.0037947499009611976</v>
      </c>
      <c r="E9" s="221">
        <f>IF(E8=0,0,E7/E8)</f>
        <v>0.003982402368591147</v>
      </c>
    </row>
    <row r="11" ht="19.5">
      <c r="B11" s="207" t="s">
        <v>178</v>
      </c>
    </row>
    <row r="12" spans="2:5" ht="12.75" customHeight="1">
      <c r="B12" s="208" t="s">
        <v>78</v>
      </c>
      <c r="C12" s="209" t="s">
        <v>170</v>
      </c>
      <c r="D12" s="208" t="s">
        <v>1</v>
      </c>
      <c r="E12" s="208"/>
    </row>
    <row r="13" spans="2:5" ht="12.75">
      <c r="B13" s="208"/>
      <c r="C13" s="210"/>
      <c r="D13" s="211" t="s">
        <v>171</v>
      </c>
      <c r="E13" s="211" t="s">
        <v>172</v>
      </c>
    </row>
    <row r="14" spans="2:5" ht="12.75">
      <c r="B14" s="212">
        <v>1</v>
      </c>
      <c r="C14" s="212"/>
      <c r="D14" s="212">
        <v>2</v>
      </c>
      <c r="E14" s="212">
        <v>3</v>
      </c>
    </row>
    <row r="15" spans="2:5" ht="12.75">
      <c r="B15" s="213" t="s">
        <v>179</v>
      </c>
      <c r="C15" s="214" t="s">
        <v>176</v>
      </c>
      <c r="D15" s="216">
        <v>0</v>
      </c>
      <c r="E15" s="216">
        <v>0</v>
      </c>
    </row>
    <row r="16" spans="2:5" ht="12.75">
      <c r="B16" s="213" t="s">
        <v>180</v>
      </c>
      <c r="C16" s="214" t="s">
        <v>176</v>
      </c>
      <c r="D16" s="216">
        <v>0</v>
      </c>
      <c r="E16" s="216">
        <v>0</v>
      </c>
    </row>
    <row r="17" spans="2:5" ht="12.75">
      <c r="B17" s="217" t="s">
        <v>181</v>
      </c>
      <c r="C17" s="214" t="s">
        <v>176</v>
      </c>
      <c r="D17" s="216">
        <v>0</v>
      </c>
      <c r="E17" s="216">
        <v>0</v>
      </c>
    </row>
    <row r="18" spans="2:5" ht="12.75">
      <c r="B18" s="219" t="s">
        <v>182</v>
      </c>
      <c r="C18" s="220" t="s">
        <v>8</v>
      </c>
      <c r="D18" s="222">
        <f>D15/(MAX(1,D16-D17))</f>
        <v>0</v>
      </c>
      <c r="E18" s="222">
        <f>E15/(MAX(1,E16-E17))</f>
        <v>0</v>
      </c>
    </row>
    <row r="20" ht="19.5">
      <c r="B20" s="207" t="s">
        <v>183</v>
      </c>
    </row>
    <row r="21" spans="2:15" s="218" customFormat="1" ht="33" customHeight="1">
      <c r="B21" s="208" t="s">
        <v>78</v>
      </c>
      <c r="C21" s="209" t="s">
        <v>170</v>
      </c>
      <c r="D21" s="208" t="s">
        <v>1</v>
      </c>
      <c r="E21" s="208"/>
      <c r="F21" s="208" t="s">
        <v>184</v>
      </c>
      <c r="G21" s="208" t="s">
        <v>3</v>
      </c>
      <c r="H21" s="209" t="s">
        <v>185</v>
      </c>
      <c r="I21" s="209" t="s">
        <v>186</v>
      </c>
      <c r="J21" s="208" t="s">
        <v>187</v>
      </c>
      <c r="K21" s="208"/>
      <c r="L21" s="208"/>
      <c r="M21" s="208"/>
      <c r="N21" s="208"/>
      <c r="O21" s="208"/>
    </row>
    <row r="22" spans="2:15" s="218" customFormat="1" ht="25.5">
      <c r="B22" s="208"/>
      <c r="C22" s="210"/>
      <c r="D22" s="211" t="s">
        <v>171</v>
      </c>
      <c r="E22" s="211" t="s">
        <v>172</v>
      </c>
      <c r="F22" s="208"/>
      <c r="G22" s="208"/>
      <c r="H22" s="210"/>
      <c r="I22" s="210"/>
      <c r="J22" s="211" t="s">
        <v>188</v>
      </c>
      <c r="K22" s="211" t="s">
        <v>189</v>
      </c>
      <c r="L22" s="211" t="s">
        <v>190</v>
      </c>
      <c r="M22" s="211" t="s">
        <v>189</v>
      </c>
      <c r="N22" s="211" t="s">
        <v>191</v>
      </c>
      <c r="O22" s="211" t="s">
        <v>189</v>
      </c>
    </row>
    <row r="23" spans="2:15" ht="12.75">
      <c r="B23" s="212">
        <v>1</v>
      </c>
      <c r="C23" s="212">
        <f>B23+1</f>
        <v>2</v>
      </c>
      <c r="D23" s="212">
        <f aca="true" t="shared" si="0" ref="D23:I23">C23+1</f>
        <v>3</v>
      </c>
      <c r="E23" s="212">
        <f t="shared" si="0"/>
        <v>4</v>
      </c>
      <c r="F23" s="212">
        <f t="shared" si="0"/>
        <v>5</v>
      </c>
      <c r="G23" s="212">
        <f t="shared" si="0"/>
        <v>6</v>
      </c>
      <c r="H23" s="212">
        <f t="shared" si="0"/>
        <v>7</v>
      </c>
      <c r="I23" s="212">
        <f t="shared" si="0"/>
        <v>8</v>
      </c>
      <c r="J23" s="223">
        <f>I23+1</f>
        <v>9</v>
      </c>
      <c r="K23" s="223"/>
      <c r="L23" s="223"/>
      <c r="M23" s="223"/>
      <c r="N23" s="223"/>
      <c r="O23" s="223"/>
    </row>
    <row r="24" spans="2:15" ht="15">
      <c r="B24" s="224" t="s">
        <v>192</v>
      </c>
      <c r="C24" s="225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7"/>
    </row>
    <row r="25" spans="2:15" s="218" customFormat="1" ht="25.5">
      <c r="B25" s="228" t="s">
        <v>193</v>
      </c>
      <c r="C25" s="229" t="s">
        <v>8</v>
      </c>
      <c r="D25" s="229" t="s">
        <v>8</v>
      </c>
      <c r="E25" s="229" t="s">
        <v>8</v>
      </c>
      <c r="F25" s="229" t="s">
        <v>8</v>
      </c>
      <c r="G25" s="229" t="s">
        <v>8</v>
      </c>
      <c r="H25" s="230">
        <f>AVERAGE(H26:H27)</f>
        <v>2</v>
      </c>
      <c r="I25" s="230">
        <f>AVERAGE(I26:I27)</f>
        <v>2</v>
      </c>
      <c r="J25" s="229" t="s">
        <v>8</v>
      </c>
      <c r="K25" s="229" t="s">
        <v>8</v>
      </c>
      <c r="L25" s="229" t="s">
        <v>8</v>
      </c>
      <c r="M25" s="229" t="s">
        <v>8</v>
      </c>
      <c r="N25" s="229" t="s">
        <v>8</v>
      </c>
      <c r="O25" s="229" t="s">
        <v>8</v>
      </c>
    </row>
    <row r="26" spans="2:15" ht="25.5" outlineLevel="1">
      <c r="B26" s="231" t="s">
        <v>10</v>
      </c>
      <c r="C26" s="232" t="s">
        <v>194</v>
      </c>
      <c r="D26" s="233">
        <v>1</v>
      </c>
      <c r="E26" s="233">
        <v>1</v>
      </c>
      <c r="F26" s="234">
        <f>IF(E26="-","-",IF(D26=E26,1,IF(D26=0,120%,E26/D26)))</f>
        <v>1</v>
      </c>
      <c r="G26" s="232" t="s">
        <v>11</v>
      </c>
      <c r="H26" s="235">
        <f>L26</f>
        <v>2</v>
      </c>
      <c r="I26" s="235">
        <f>IF(F26="-","-",IF(G26="прямая",IF(F26&gt;120%,J26,IF(F26&lt;80%,N26,L26)),IF(F26&lt;80%,J26,IF(F26&gt;120%,N26,L26))))</f>
        <v>2</v>
      </c>
      <c r="J26" s="232">
        <v>1</v>
      </c>
      <c r="K26" s="232" t="str">
        <f>IF($G26="прямая","гр.4&gt;120%",IF($G26="обратная","гр.4&lt;80%","???"))</f>
        <v>гр.4&gt;120%</v>
      </c>
      <c r="L26" s="232">
        <v>2</v>
      </c>
      <c r="M26" s="232" t="s">
        <v>195</v>
      </c>
      <c r="N26" s="232">
        <v>3</v>
      </c>
      <c r="O26" s="232" t="str">
        <f>IF($G26="прямая","гр.4&lt;80%",IF($G26="обратная","гр.4&gt;120%","???"))</f>
        <v>гр.4&lt;80%</v>
      </c>
    </row>
    <row r="27" spans="2:15" ht="38.25" outlineLevel="1">
      <c r="B27" s="231" t="s">
        <v>196</v>
      </c>
      <c r="C27" s="232" t="s">
        <v>176</v>
      </c>
      <c r="D27" s="235">
        <f>SUM(D28:D31)</f>
        <v>30</v>
      </c>
      <c r="E27" s="235">
        <f>SUM(E28:E31)</f>
        <v>32</v>
      </c>
      <c r="F27" s="234">
        <f>IF(E27="-","-",IF(D27=E27,1,IF(D27=0,120%,E27/D27)))</f>
        <v>1.0666666666666667</v>
      </c>
      <c r="G27" s="232" t="s">
        <v>11</v>
      </c>
      <c r="H27" s="235">
        <f>L27</f>
        <v>2</v>
      </c>
      <c r="I27" s="235">
        <f>IF(F27="-","-",IF(G27="прямая",IF(F27&gt;120%,J27,IF(F27&lt;80%,N27,L27)),IF(F27&lt;80%,J27,IF(F27&gt;120%,N27,L27))))</f>
        <v>2</v>
      </c>
      <c r="J27" s="232">
        <v>1</v>
      </c>
      <c r="K27" s="232" t="str">
        <f>IF($G27="прямая","гр.4&gt;120%",IF($G27="обратная","гр.4&lt;80%","???"))</f>
        <v>гр.4&gt;120%</v>
      </c>
      <c r="L27" s="232">
        <v>2</v>
      </c>
      <c r="M27" s="232" t="s">
        <v>195</v>
      </c>
      <c r="N27" s="232">
        <v>3</v>
      </c>
      <c r="O27" s="232" t="str">
        <f>IF($G27="прямая","гр.4&lt;80%",IF($G27="обратная","гр.4&gt;120%","???"))</f>
        <v>гр.4&lt;80%</v>
      </c>
    </row>
    <row r="28" spans="2:15" ht="18" customHeight="1" outlineLevel="1">
      <c r="B28" s="231" t="s">
        <v>197</v>
      </c>
      <c r="C28" s="232" t="s">
        <v>176</v>
      </c>
      <c r="D28" s="236">
        <v>1</v>
      </c>
      <c r="E28" s="236">
        <v>1</v>
      </c>
      <c r="F28" s="237" t="s">
        <v>8</v>
      </c>
      <c r="G28" s="229" t="s">
        <v>8</v>
      </c>
      <c r="H28" s="229" t="s">
        <v>8</v>
      </c>
      <c r="I28" s="229" t="s">
        <v>8</v>
      </c>
      <c r="J28" s="229" t="s">
        <v>8</v>
      </c>
      <c r="K28" s="229" t="s">
        <v>8</v>
      </c>
      <c r="L28" s="229" t="s">
        <v>8</v>
      </c>
      <c r="M28" s="229" t="s">
        <v>8</v>
      </c>
      <c r="N28" s="229" t="s">
        <v>8</v>
      </c>
      <c r="O28" s="229" t="s">
        <v>8</v>
      </c>
    </row>
    <row r="29" spans="2:15" ht="25.5" outlineLevel="1">
      <c r="B29" s="231" t="s">
        <v>198</v>
      </c>
      <c r="C29" s="232" t="s">
        <v>199</v>
      </c>
      <c r="D29" s="236">
        <v>1</v>
      </c>
      <c r="E29" s="236">
        <v>1</v>
      </c>
      <c r="F29" s="237" t="s">
        <v>8</v>
      </c>
      <c r="G29" s="229" t="s">
        <v>8</v>
      </c>
      <c r="H29" s="229" t="s">
        <v>8</v>
      </c>
      <c r="I29" s="229" t="s">
        <v>8</v>
      </c>
      <c r="J29" s="229" t="s">
        <v>8</v>
      </c>
      <c r="K29" s="229" t="s">
        <v>8</v>
      </c>
      <c r="L29" s="229" t="s">
        <v>8</v>
      </c>
      <c r="M29" s="229" t="s">
        <v>8</v>
      </c>
      <c r="N29" s="229" t="s">
        <v>8</v>
      </c>
      <c r="O29" s="229" t="s">
        <v>8</v>
      </c>
    </row>
    <row r="30" spans="2:15" ht="18" customHeight="1" outlineLevel="1">
      <c r="B30" s="231" t="s">
        <v>200</v>
      </c>
      <c r="C30" s="232" t="s">
        <v>176</v>
      </c>
      <c r="D30" s="236">
        <v>18</v>
      </c>
      <c r="E30" s="236">
        <v>20</v>
      </c>
      <c r="F30" s="237" t="s">
        <v>8</v>
      </c>
      <c r="G30" s="229" t="s">
        <v>8</v>
      </c>
      <c r="H30" s="229" t="s">
        <v>8</v>
      </c>
      <c r="I30" s="229" t="s">
        <v>8</v>
      </c>
      <c r="J30" s="229" t="s">
        <v>8</v>
      </c>
      <c r="K30" s="229" t="s">
        <v>8</v>
      </c>
      <c r="L30" s="229" t="s">
        <v>8</v>
      </c>
      <c r="M30" s="229" t="s">
        <v>8</v>
      </c>
      <c r="N30" s="229" t="s">
        <v>8</v>
      </c>
      <c r="O30" s="229" t="s">
        <v>8</v>
      </c>
    </row>
    <row r="31" spans="2:15" ht="25.5" outlineLevel="1">
      <c r="B31" s="231" t="s">
        <v>201</v>
      </c>
      <c r="C31" s="232" t="s">
        <v>176</v>
      </c>
      <c r="D31" s="236">
        <v>10</v>
      </c>
      <c r="E31" s="236">
        <v>10</v>
      </c>
      <c r="F31" s="237" t="s">
        <v>8</v>
      </c>
      <c r="G31" s="229" t="s">
        <v>8</v>
      </c>
      <c r="H31" s="229" t="s">
        <v>8</v>
      </c>
      <c r="I31" s="229" t="s">
        <v>8</v>
      </c>
      <c r="J31" s="229" t="s">
        <v>8</v>
      </c>
      <c r="K31" s="229" t="s">
        <v>8</v>
      </c>
      <c r="L31" s="229" t="s">
        <v>8</v>
      </c>
      <c r="M31" s="229" t="s">
        <v>8</v>
      </c>
      <c r="N31" s="229" t="s">
        <v>8</v>
      </c>
      <c r="O31" s="229" t="s">
        <v>8</v>
      </c>
    </row>
    <row r="32" spans="2:15" s="218" customFormat="1" ht="28.5" customHeight="1">
      <c r="B32" s="228" t="s">
        <v>202</v>
      </c>
      <c r="C32" s="229" t="s">
        <v>8</v>
      </c>
      <c r="D32" s="229" t="s">
        <v>8</v>
      </c>
      <c r="E32" s="229" t="s">
        <v>8</v>
      </c>
      <c r="F32" s="229" t="s">
        <v>8</v>
      </c>
      <c r="G32" s="229" t="s">
        <v>8</v>
      </c>
      <c r="H32" s="230">
        <f>AVERAGE(H33:H35)</f>
        <v>2</v>
      </c>
      <c r="I32" s="230">
        <f>AVERAGE(I33:I35)</f>
        <v>2</v>
      </c>
      <c r="J32" s="229" t="s">
        <v>8</v>
      </c>
      <c r="K32" s="229" t="s">
        <v>8</v>
      </c>
      <c r="L32" s="229" t="s">
        <v>8</v>
      </c>
      <c r="M32" s="229" t="s">
        <v>8</v>
      </c>
      <c r="N32" s="229" t="s">
        <v>8</v>
      </c>
      <c r="O32" s="229" t="s">
        <v>8</v>
      </c>
    </row>
    <row r="33" spans="2:15" ht="12.75" outlineLevel="1">
      <c r="B33" s="231" t="s">
        <v>203</v>
      </c>
      <c r="C33" s="232" t="s">
        <v>204</v>
      </c>
      <c r="D33" s="236">
        <v>1</v>
      </c>
      <c r="E33" s="236">
        <v>1</v>
      </c>
      <c r="F33" s="234">
        <f aca="true" t="shared" si="1" ref="F33:F38">IF(E33="-","-",IF(D33=E33,1,IF(D33=0,120%,E33/D33)))</f>
        <v>1</v>
      </c>
      <c r="G33" s="232" t="s">
        <v>11</v>
      </c>
      <c r="H33" s="235">
        <f aca="true" t="shared" si="2" ref="H33:H38">L33</f>
        <v>2</v>
      </c>
      <c r="I33" s="235">
        <f aca="true" t="shared" si="3" ref="I33:I38">IF(F33="-","-",IF(G33="прямая",IF(F33&gt;120%,J33,IF(F33&lt;80%,N33,L33)),IF(F33&lt;80%,J33,IF(F33&gt;120%,N33,L33))))</f>
        <v>2</v>
      </c>
      <c r="J33" s="232">
        <v>1</v>
      </c>
      <c r="K33" s="232" t="str">
        <f aca="true" t="shared" si="4" ref="K33:K38">IF($G33="прямая","гр.4&gt;120%",IF($G33="обратная","гр.4&lt;80%","???"))</f>
        <v>гр.4&gt;120%</v>
      </c>
      <c r="L33" s="232">
        <v>2</v>
      </c>
      <c r="M33" s="232" t="s">
        <v>195</v>
      </c>
      <c r="N33" s="232">
        <v>3</v>
      </c>
      <c r="O33" s="232" t="str">
        <f aca="true" t="shared" si="5" ref="O33:O38">IF($G33="прямая","гр.4&lt;80%",IF($G33="обратная","гр.4&gt;120%","???"))</f>
        <v>гр.4&lt;80%</v>
      </c>
    </row>
    <row r="34" spans="2:15" ht="25.5" outlineLevel="1">
      <c r="B34" s="231" t="s">
        <v>205</v>
      </c>
      <c r="C34" s="232" t="s">
        <v>204</v>
      </c>
      <c r="D34" s="236">
        <v>1</v>
      </c>
      <c r="E34" s="236">
        <v>1</v>
      </c>
      <c r="F34" s="234">
        <f t="shared" si="1"/>
        <v>1</v>
      </c>
      <c r="G34" s="232" t="s">
        <v>11</v>
      </c>
      <c r="H34" s="235">
        <f t="shared" si="2"/>
        <v>2</v>
      </c>
      <c r="I34" s="235">
        <f t="shared" si="3"/>
        <v>2</v>
      </c>
      <c r="J34" s="232">
        <v>1</v>
      </c>
      <c r="K34" s="232" t="str">
        <f t="shared" si="4"/>
        <v>гр.4&gt;120%</v>
      </c>
      <c r="L34" s="232">
        <v>2</v>
      </c>
      <c r="M34" s="232" t="s">
        <v>195</v>
      </c>
      <c r="N34" s="232">
        <v>3</v>
      </c>
      <c r="O34" s="232" t="str">
        <f t="shared" si="5"/>
        <v>гр.4&lt;80%</v>
      </c>
    </row>
    <row r="35" spans="2:15" ht="25.5" outlineLevel="1">
      <c r="B35" s="231" t="s">
        <v>206</v>
      </c>
      <c r="C35" s="232" t="s">
        <v>204</v>
      </c>
      <c r="D35" s="236">
        <v>0</v>
      </c>
      <c r="E35" s="236">
        <v>0</v>
      </c>
      <c r="F35" s="234">
        <f t="shared" si="1"/>
        <v>1</v>
      </c>
      <c r="G35" s="232" t="s">
        <v>11</v>
      </c>
      <c r="H35" s="235">
        <f t="shared" si="2"/>
        <v>2</v>
      </c>
      <c r="I35" s="235">
        <f t="shared" si="3"/>
        <v>2</v>
      </c>
      <c r="J35" s="232">
        <v>1</v>
      </c>
      <c r="K35" s="232" t="str">
        <f t="shared" si="4"/>
        <v>гр.4&gt;120%</v>
      </c>
      <c r="L35" s="232">
        <v>2</v>
      </c>
      <c r="M35" s="232" t="s">
        <v>195</v>
      </c>
      <c r="N35" s="232">
        <v>3</v>
      </c>
      <c r="O35" s="232" t="str">
        <f t="shared" si="5"/>
        <v>гр.4&lt;80%</v>
      </c>
    </row>
    <row r="36" spans="2:15" s="218" customFormat="1" ht="38.25">
      <c r="B36" s="228" t="s">
        <v>207</v>
      </c>
      <c r="C36" s="229" t="s">
        <v>204</v>
      </c>
      <c r="D36" s="238">
        <v>1</v>
      </c>
      <c r="E36" s="238">
        <v>1</v>
      </c>
      <c r="F36" s="239">
        <f t="shared" si="1"/>
        <v>1</v>
      </c>
      <c r="G36" s="229" t="s">
        <v>11</v>
      </c>
      <c r="H36" s="230">
        <f t="shared" si="2"/>
        <v>2</v>
      </c>
      <c r="I36" s="230">
        <f t="shared" si="3"/>
        <v>2</v>
      </c>
      <c r="J36" s="229">
        <v>1</v>
      </c>
      <c r="K36" s="229" t="str">
        <f t="shared" si="4"/>
        <v>гр.4&gt;120%</v>
      </c>
      <c r="L36" s="229">
        <v>2</v>
      </c>
      <c r="M36" s="229" t="s">
        <v>195</v>
      </c>
      <c r="N36" s="229">
        <v>3</v>
      </c>
      <c r="O36" s="229" t="str">
        <f t="shared" si="5"/>
        <v>гр.4&lt;80%</v>
      </c>
    </row>
    <row r="37" spans="2:15" s="218" customFormat="1" ht="38.25">
      <c r="B37" s="228" t="s">
        <v>208</v>
      </c>
      <c r="C37" s="229" t="s">
        <v>204</v>
      </c>
      <c r="D37" s="238">
        <v>1</v>
      </c>
      <c r="E37" s="238">
        <v>1</v>
      </c>
      <c r="F37" s="239">
        <f t="shared" si="1"/>
        <v>1</v>
      </c>
      <c r="G37" s="229" t="s">
        <v>11</v>
      </c>
      <c r="H37" s="230">
        <f t="shared" si="2"/>
        <v>2</v>
      </c>
      <c r="I37" s="230">
        <f t="shared" si="3"/>
        <v>2</v>
      </c>
      <c r="J37" s="229">
        <v>1</v>
      </c>
      <c r="K37" s="229" t="str">
        <f t="shared" si="4"/>
        <v>гр.4&gt;120%</v>
      </c>
      <c r="L37" s="229">
        <v>2</v>
      </c>
      <c r="M37" s="229" t="s">
        <v>195</v>
      </c>
      <c r="N37" s="229">
        <v>3</v>
      </c>
      <c r="O37" s="229" t="str">
        <f t="shared" si="5"/>
        <v>гр.4&lt;80%</v>
      </c>
    </row>
    <row r="38" spans="2:15" s="218" customFormat="1" ht="25.5">
      <c r="B38" s="228" t="s">
        <v>25</v>
      </c>
      <c r="C38" s="229" t="s">
        <v>194</v>
      </c>
      <c r="D38" s="240">
        <f>D39</f>
        <v>0</v>
      </c>
      <c r="E38" s="240">
        <f>E39</f>
        <v>0</v>
      </c>
      <c r="F38" s="239">
        <f t="shared" si="1"/>
        <v>1</v>
      </c>
      <c r="G38" s="241" t="s">
        <v>28</v>
      </c>
      <c r="H38" s="230">
        <f t="shared" si="2"/>
        <v>2</v>
      </c>
      <c r="I38" s="230">
        <f t="shared" si="3"/>
        <v>2</v>
      </c>
      <c r="J38" s="229">
        <v>1</v>
      </c>
      <c r="K38" s="229" t="str">
        <f t="shared" si="4"/>
        <v>гр.4&lt;80%</v>
      </c>
      <c r="L38" s="229">
        <v>2</v>
      </c>
      <c r="M38" s="229" t="s">
        <v>195</v>
      </c>
      <c r="N38" s="229">
        <v>3</v>
      </c>
      <c r="O38" s="229" t="str">
        <f t="shared" si="5"/>
        <v>гр.4&gt;120%</v>
      </c>
    </row>
    <row r="39" spans="2:15" ht="38.25" outlineLevel="1">
      <c r="B39" s="231" t="s">
        <v>27</v>
      </c>
      <c r="C39" s="232" t="s">
        <v>194</v>
      </c>
      <c r="D39" s="233">
        <v>0</v>
      </c>
      <c r="E39" s="233">
        <v>0</v>
      </c>
      <c r="F39" s="229" t="s">
        <v>8</v>
      </c>
      <c r="G39" s="229" t="s">
        <v>8</v>
      </c>
      <c r="H39" s="229" t="s">
        <v>8</v>
      </c>
      <c r="I39" s="229" t="s">
        <v>8</v>
      </c>
      <c r="J39" s="229" t="s">
        <v>8</v>
      </c>
      <c r="K39" s="229" t="s">
        <v>8</v>
      </c>
      <c r="L39" s="229" t="s">
        <v>8</v>
      </c>
      <c r="M39" s="229" t="s">
        <v>8</v>
      </c>
      <c r="N39" s="229" t="s">
        <v>8</v>
      </c>
      <c r="O39" s="229" t="s">
        <v>8</v>
      </c>
    </row>
    <row r="40" spans="2:15" s="218" customFormat="1" ht="25.5">
      <c r="B40" s="228" t="s">
        <v>209</v>
      </c>
      <c r="C40" s="229" t="s">
        <v>8</v>
      </c>
      <c r="D40" s="229" t="s">
        <v>8</v>
      </c>
      <c r="E40" s="229" t="s">
        <v>8</v>
      </c>
      <c r="F40" s="229" t="s">
        <v>8</v>
      </c>
      <c r="G40" s="229" t="s">
        <v>8</v>
      </c>
      <c r="H40" s="230">
        <f>AVERAGE(H41:H42)</f>
        <v>2</v>
      </c>
      <c r="I40" s="230">
        <f>AVERAGE(I41:I42)</f>
        <v>2</v>
      </c>
      <c r="J40" s="229" t="s">
        <v>8</v>
      </c>
      <c r="K40" s="229" t="s">
        <v>8</v>
      </c>
      <c r="L40" s="229" t="s">
        <v>8</v>
      </c>
      <c r="M40" s="229" t="s">
        <v>8</v>
      </c>
      <c r="N40" s="229" t="s">
        <v>8</v>
      </c>
      <c r="O40" s="229" t="s">
        <v>8</v>
      </c>
    </row>
    <row r="41" spans="2:15" ht="38.25" outlineLevel="1">
      <c r="B41" s="231" t="s">
        <v>30</v>
      </c>
      <c r="C41" s="232" t="s">
        <v>194</v>
      </c>
      <c r="D41" s="233">
        <v>0</v>
      </c>
      <c r="E41" s="233">
        <v>0</v>
      </c>
      <c r="F41" s="234">
        <f>IF(E41="-","-",IF(D41=E41,1,IF(D41=0,120%,E41/D41)))</f>
        <v>1</v>
      </c>
      <c r="G41" s="232" t="s">
        <v>28</v>
      </c>
      <c r="H41" s="235">
        <f>L41</f>
        <v>2</v>
      </c>
      <c r="I41" s="235">
        <f>IF(F41="-","-",IF(G41="прямая",IF(F41&gt;120%,J41,IF(F41&lt;80%,N41,L41)),IF(F41&lt;80%,J41,IF(F41&gt;120%,N41,L41))))</f>
        <v>2</v>
      </c>
      <c r="J41" s="232">
        <v>1</v>
      </c>
      <c r="K41" s="232" t="str">
        <f>IF($G41="прямая","гр.4&gt;120%",IF($G41="обратная","гр.4&lt;80%","???"))</f>
        <v>гр.4&lt;80%</v>
      </c>
      <c r="L41" s="232">
        <v>2</v>
      </c>
      <c r="M41" s="232" t="s">
        <v>195</v>
      </c>
      <c r="N41" s="232">
        <v>3</v>
      </c>
      <c r="O41" s="232" t="str">
        <f>IF($G41="прямая","гр.4&lt;80%",IF($G41="обратная","гр.4&gt;120%","???"))</f>
        <v>гр.4&gt;120%</v>
      </c>
    </row>
    <row r="42" spans="2:15" ht="51" outlineLevel="1">
      <c r="B42" s="231" t="s">
        <v>71</v>
      </c>
      <c r="C42" s="232" t="s">
        <v>194</v>
      </c>
      <c r="D42" s="233">
        <v>0</v>
      </c>
      <c r="E42" s="233">
        <v>0</v>
      </c>
      <c r="F42" s="234">
        <f>IF(E42="-","-",IF(D42=E42,1,IF(D42=0,120%,E42/D42)))</f>
        <v>1</v>
      </c>
      <c r="G42" s="232" t="s">
        <v>28</v>
      </c>
      <c r="H42" s="235">
        <f>L42</f>
        <v>2</v>
      </c>
      <c r="I42" s="235">
        <f>IF(F42="-","-",IF(G42="прямая",IF(F42&gt;120%,J42,IF(F42&lt;80%,N42,L42)),IF(F42&lt;80%,J42,IF(F42&gt;120%,N42,L42))))</f>
        <v>2</v>
      </c>
      <c r="J42" s="232">
        <v>1</v>
      </c>
      <c r="K42" s="232" t="str">
        <f>IF($G42="прямая","гр.4&gt;120%",IF($G42="обратная","гр.4&lt;80%","???"))</f>
        <v>гр.4&lt;80%</v>
      </c>
      <c r="L42" s="232">
        <v>2</v>
      </c>
      <c r="M42" s="232" t="s">
        <v>195</v>
      </c>
      <c r="N42" s="232">
        <v>3</v>
      </c>
      <c r="O42" s="232" t="str">
        <f>IF($G42="прямая","гр.4&lt;80%",IF($G42="обратная","гр.4&gt;120%","???"))</f>
        <v>гр.4&gt;120%</v>
      </c>
    </row>
    <row r="43" spans="2:15" s="218" customFormat="1" ht="12.75">
      <c r="B43" s="242" t="s">
        <v>210</v>
      </c>
      <c r="C43" s="220" t="s">
        <v>8</v>
      </c>
      <c r="D43" s="220" t="s">
        <v>8</v>
      </c>
      <c r="E43" s="220" t="s">
        <v>8</v>
      </c>
      <c r="F43" s="220" t="s">
        <v>8</v>
      </c>
      <c r="G43" s="220" t="s">
        <v>8</v>
      </c>
      <c r="H43" s="221">
        <f>AVERAGE(H25,H32,H36,H37,H38,H40)</f>
        <v>2</v>
      </c>
      <c r="I43" s="221">
        <f>AVERAGE(I25,I32,I36,I37,I38,I40)</f>
        <v>2</v>
      </c>
      <c r="J43" s="220" t="s">
        <v>8</v>
      </c>
      <c r="K43" s="220" t="s">
        <v>8</v>
      </c>
      <c r="L43" s="220" t="s">
        <v>8</v>
      </c>
      <c r="M43" s="220" t="s">
        <v>8</v>
      </c>
      <c r="N43" s="220" t="s">
        <v>8</v>
      </c>
      <c r="O43" s="220" t="s">
        <v>8</v>
      </c>
    </row>
    <row r="44" spans="2:15" s="218" customFormat="1" ht="15">
      <c r="B44" s="224" t="s">
        <v>211</v>
      </c>
      <c r="C44" s="226"/>
      <c r="D44" s="226"/>
      <c r="E44" s="226"/>
      <c r="F44" s="226"/>
      <c r="G44" s="226"/>
      <c r="H44" s="226"/>
      <c r="I44" s="226"/>
      <c r="J44" s="243"/>
      <c r="K44" s="243"/>
      <c r="L44" s="243"/>
      <c r="M44" s="243"/>
      <c r="N44" s="243"/>
      <c r="O44" s="244"/>
    </row>
    <row r="45" spans="2:15" s="218" customFormat="1" ht="25.5">
      <c r="B45" s="245" t="s">
        <v>212</v>
      </c>
      <c r="C45" s="241" t="s">
        <v>8</v>
      </c>
      <c r="D45" s="241" t="s">
        <v>8</v>
      </c>
      <c r="E45" s="241" t="s">
        <v>8</v>
      </c>
      <c r="F45" s="241" t="s">
        <v>8</v>
      </c>
      <c r="G45" s="241" t="s">
        <v>8</v>
      </c>
      <c r="H45" s="230">
        <f>_xlfn.IFERROR(AVERAGE(H46:H47,H50),"-")</f>
        <v>0.5</v>
      </c>
      <c r="I45" s="230">
        <f>_xlfn.IFERROR(AVERAGE(I46:I47,I50),"-")</f>
        <v>0.5833333333333334</v>
      </c>
      <c r="J45" s="246" t="s">
        <v>8</v>
      </c>
      <c r="K45" s="241" t="s">
        <v>8</v>
      </c>
      <c r="L45" s="246" t="s">
        <v>8</v>
      </c>
      <c r="M45" s="241" t="s">
        <v>8</v>
      </c>
      <c r="N45" s="246" t="s">
        <v>8</v>
      </c>
      <c r="O45" s="241" t="s">
        <v>8</v>
      </c>
    </row>
    <row r="46" spans="2:15" ht="38.25" outlineLevel="1">
      <c r="B46" s="231" t="s">
        <v>213</v>
      </c>
      <c r="C46" s="232" t="s">
        <v>214</v>
      </c>
      <c r="D46" s="236">
        <v>20</v>
      </c>
      <c r="E46" s="236">
        <v>30</v>
      </c>
      <c r="F46" s="234">
        <f>IF(E46="-","-",IF(D46=E46,1,IF(D46=0,120%,E46/D46)))</f>
        <v>1.5</v>
      </c>
      <c r="G46" s="232" t="s">
        <v>28</v>
      </c>
      <c r="H46" s="235">
        <f>L46</f>
        <v>0.5</v>
      </c>
      <c r="I46" s="235">
        <f>IF(F46="-","-",IF(G46="прямая",IF(F46&gt;120%,J46,IF(F46&lt;80%,N46,L46)),IF(F46&lt;80%,J46,IF(F46&gt;120%,N46,L46))))</f>
        <v>0.75</v>
      </c>
      <c r="J46" s="247">
        <v>0.25</v>
      </c>
      <c r="K46" s="232" t="str">
        <f aca="true" t="shared" si="6" ref="K46:K78">IF($G46="прямая","гр.4&gt;120%",IF($G46="обратная","гр.4&lt;80%","???"))</f>
        <v>гр.4&lt;80%</v>
      </c>
      <c r="L46" s="247">
        <v>0.5</v>
      </c>
      <c r="M46" s="232" t="s">
        <v>195</v>
      </c>
      <c r="N46" s="247">
        <v>0.75</v>
      </c>
      <c r="O46" s="232" t="str">
        <f aca="true" t="shared" si="7" ref="O46:O78">IF($G46="прямая","гр.4&lt;80%",IF($G46="обратная","гр.4&gt;120%","???"))</f>
        <v>гр.4&gt;120%</v>
      </c>
    </row>
    <row r="47" spans="2:15" ht="25.5" outlineLevel="1">
      <c r="B47" s="231" t="s">
        <v>215</v>
      </c>
      <c r="C47" s="232" t="s">
        <v>8</v>
      </c>
      <c r="D47" s="247" t="s">
        <v>8</v>
      </c>
      <c r="E47" s="247" t="s">
        <v>8</v>
      </c>
      <c r="F47" s="232" t="s">
        <v>8</v>
      </c>
      <c r="G47" s="232" t="s">
        <v>8</v>
      </c>
      <c r="H47" s="235">
        <f>_xlfn.IFERROR(AVERAGE(H48:H49),"-")</f>
        <v>0.5</v>
      </c>
      <c r="I47" s="235">
        <f>_xlfn.IFERROR(AVERAGE(I48:I49),"-")</f>
        <v>0.5</v>
      </c>
      <c r="J47" s="247" t="s">
        <v>8</v>
      </c>
      <c r="K47" s="232" t="s">
        <v>8</v>
      </c>
      <c r="L47" s="247" t="s">
        <v>8</v>
      </c>
      <c r="M47" s="232" t="s">
        <v>8</v>
      </c>
      <c r="N47" s="247" t="s">
        <v>8</v>
      </c>
      <c r="O47" s="232" t="s">
        <v>8</v>
      </c>
    </row>
    <row r="48" spans="2:15" ht="25.5" outlineLevel="1">
      <c r="B48" s="231" t="s">
        <v>216</v>
      </c>
      <c r="C48" s="232" t="s">
        <v>214</v>
      </c>
      <c r="D48" s="236">
        <v>5</v>
      </c>
      <c r="E48" s="236">
        <v>5</v>
      </c>
      <c r="F48" s="234">
        <f>IF(E48="-","-",IF(D48=E48,1,IF(D48=0,120%,E48/D48)))</f>
        <v>1</v>
      </c>
      <c r="G48" s="232" t="s">
        <v>28</v>
      </c>
      <c r="H48" s="235">
        <f>L48</f>
        <v>0.5</v>
      </c>
      <c r="I48" s="235">
        <f>IF(F48="-","-",IF(G48="прямая",IF(F48&gt;120%,J48,IF(F48&lt;80%,N48,L48)),IF(F48&lt;80%,J48,IF(F48&gt;120%,N48,L48))))</f>
        <v>0.5</v>
      </c>
      <c r="J48" s="247">
        <v>0.25</v>
      </c>
      <c r="K48" s="232" t="str">
        <f t="shared" si="6"/>
        <v>гр.4&lt;80%</v>
      </c>
      <c r="L48" s="247">
        <v>0.5</v>
      </c>
      <c r="M48" s="232" t="s">
        <v>195</v>
      </c>
      <c r="N48" s="247">
        <v>0.75</v>
      </c>
      <c r="O48" s="232" t="str">
        <f t="shared" si="7"/>
        <v>гр.4&gt;120%</v>
      </c>
    </row>
    <row r="49" spans="2:15" ht="12.75" outlineLevel="1">
      <c r="B49" s="231" t="s">
        <v>217</v>
      </c>
      <c r="C49" s="232" t="s">
        <v>214</v>
      </c>
      <c r="D49" s="236">
        <v>7</v>
      </c>
      <c r="E49" s="236">
        <v>7</v>
      </c>
      <c r="F49" s="234">
        <f>IF(E49="-","-",IF(D49=E49,1,IF(D49=0,120%,E49/D49)))</f>
        <v>1</v>
      </c>
      <c r="G49" s="232" t="s">
        <v>28</v>
      </c>
      <c r="H49" s="235">
        <f>L49</f>
        <v>0.5</v>
      </c>
      <c r="I49" s="235">
        <f>IF(F49="-","-",IF(G49="прямая",IF(F49&gt;120%,J49,IF(F49&lt;80%,N49,L49)),IF(F49&lt;80%,J49,IF(F49&gt;120%,N49,L49))))</f>
        <v>0.5</v>
      </c>
      <c r="J49" s="247">
        <v>0.25</v>
      </c>
      <c r="K49" s="232" t="str">
        <f t="shared" si="6"/>
        <v>гр.4&lt;80%</v>
      </c>
      <c r="L49" s="247">
        <v>0.5</v>
      </c>
      <c r="M49" s="232" t="s">
        <v>195</v>
      </c>
      <c r="N49" s="247">
        <v>0.75</v>
      </c>
      <c r="O49" s="232" t="str">
        <f t="shared" si="7"/>
        <v>гр.4&gt;120%</v>
      </c>
    </row>
    <row r="50" spans="2:15" ht="51" outlineLevel="1">
      <c r="B50" s="231" t="s">
        <v>218</v>
      </c>
      <c r="C50" s="232" t="s">
        <v>194</v>
      </c>
      <c r="D50" s="233">
        <v>0</v>
      </c>
      <c r="E50" s="233">
        <v>0</v>
      </c>
      <c r="F50" s="234">
        <f>IF(E50="-","-",IF(D50=E50,1,IF(D50=0,120%,E50/D50)))</f>
        <v>1</v>
      </c>
      <c r="G50" s="232" t="s">
        <v>28</v>
      </c>
      <c r="H50" s="235">
        <f>L50</f>
        <v>0.5</v>
      </c>
      <c r="I50" s="235">
        <f>IF(F50="-","-",IF(G50="прямая",IF(F50&gt;120%,J50,IF(F50&lt;80%,N50,L50)),IF(F50&lt;80%,J50,IF(F50&gt;120%,N50,L50))))</f>
        <v>0.5</v>
      </c>
      <c r="J50" s="247">
        <v>0.25</v>
      </c>
      <c r="K50" s="232" t="str">
        <f t="shared" si="6"/>
        <v>гр.4&lt;80%</v>
      </c>
      <c r="L50" s="247">
        <v>0.5</v>
      </c>
      <c r="M50" s="232" t="s">
        <v>195</v>
      </c>
      <c r="N50" s="247">
        <v>0.75</v>
      </c>
      <c r="O50" s="232" t="str">
        <f t="shared" si="7"/>
        <v>гр.4&gt;120%</v>
      </c>
    </row>
    <row r="51" spans="2:15" s="218" customFormat="1" ht="25.5">
      <c r="B51" s="245" t="s">
        <v>219</v>
      </c>
      <c r="C51" s="241" t="s">
        <v>8</v>
      </c>
      <c r="D51" s="240">
        <f>D52</f>
        <v>0</v>
      </c>
      <c r="E51" s="240">
        <f>E52</f>
        <v>0</v>
      </c>
      <c r="F51" s="239">
        <f>IF(E51="-","-",IF(D51=E51,1,IF(D51=0,120%,E51/D51)))</f>
        <v>1</v>
      </c>
      <c r="G51" s="241" t="s">
        <v>28</v>
      </c>
      <c r="H51" s="230">
        <f>L51</f>
        <v>0.5</v>
      </c>
      <c r="I51" s="230">
        <f>IF(F51="-","-",IF(G51="прямая",IF(F51&gt;120%,J51,IF(F51&lt;80%,N51,L51)),IF(F51&lt;80%,J51,IF(F51&gt;120%,N51,L51))))</f>
        <v>0.5</v>
      </c>
      <c r="J51" s="246">
        <v>0.25</v>
      </c>
      <c r="K51" s="241" t="str">
        <f t="shared" si="6"/>
        <v>гр.4&lt;80%</v>
      </c>
      <c r="L51" s="246">
        <v>0.5</v>
      </c>
      <c r="M51" s="241" t="s">
        <v>195</v>
      </c>
      <c r="N51" s="246">
        <v>0.75</v>
      </c>
      <c r="O51" s="241" t="str">
        <f t="shared" si="7"/>
        <v>гр.4&gt;120%</v>
      </c>
    </row>
    <row r="52" spans="2:15" ht="25.5" outlineLevel="1">
      <c r="B52" s="231" t="s">
        <v>220</v>
      </c>
      <c r="C52" s="232" t="s">
        <v>194</v>
      </c>
      <c r="D52" s="233">
        <v>0</v>
      </c>
      <c r="E52" s="233">
        <v>0</v>
      </c>
      <c r="F52" s="229" t="s">
        <v>8</v>
      </c>
      <c r="G52" s="229" t="s">
        <v>8</v>
      </c>
      <c r="H52" s="229" t="s">
        <v>8</v>
      </c>
      <c r="I52" s="229" t="s">
        <v>8</v>
      </c>
      <c r="J52" s="229" t="s">
        <v>8</v>
      </c>
      <c r="K52" s="229" t="s">
        <v>8</v>
      </c>
      <c r="L52" s="229" t="s">
        <v>8</v>
      </c>
      <c r="M52" s="229" t="s">
        <v>8</v>
      </c>
      <c r="N52" s="229" t="s">
        <v>8</v>
      </c>
      <c r="O52" s="229" t="s">
        <v>8</v>
      </c>
    </row>
    <row r="53" spans="2:15" s="218" customFormat="1" ht="25.5">
      <c r="B53" s="245" t="s">
        <v>221</v>
      </c>
      <c r="C53" s="229" t="s">
        <v>8</v>
      </c>
      <c r="D53" s="229" t="s">
        <v>8</v>
      </c>
      <c r="E53" s="229" t="s">
        <v>8</v>
      </c>
      <c r="F53" s="248" t="s">
        <v>8</v>
      </c>
      <c r="G53" s="229" t="s">
        <v>8</v>
      </c>
      <c r="H53" s="230">
        <f>AVERAGE(H54,H55)</f>
        <v>0.5</v>
      </c>
      <c r="I53" s="230">
        <f>AVERAGE(I54,I55)</f>
        <v>0.5</v>
      </c>
      <c r="J53" s="246" t="s">
        <v>8</v>
      </c>
      <c r="K53" s="241" t="s">
        <v>8</v>
      </c>
      <c r="L53" s="246" t="s">
        <v>8</v>
      </c>
      <c r="M53" s="241" t="s">
        <v>8</v>
      </c>
      <c r="N53" s="246" t="s">
        <v>8</v>
      </c>
      <c r="O53" s="241" t="s">
        <v>8</v>
      </c>
    </row>
    <row r="54" spans="2:15" ht="25.5" outlineLevel="1">
      <c r="B54" s="231" t="s">
        <v>222</v>
      </c>
      <c r="C54" s="232" t="s">
        <v>204</v>
      </c>
      <c r="D54" s="236">
        <v>1</v>
      </c>
      <c r="E54" s="236">
        <v>1</v>
      </c>
      <c r="F54" s="234">
        <f>IF(E54="-","-",IF(D54=E54,1,IF(D54=0,120%,E54/D54)))</f>
        <v>1</v>
      </c>
      <c r="G54" s="232" t="s">
        <v>11</v>
      </c>
      <c r="H54" s="235">
        <f>L54</f>
        <v>0.5</v>
      </c>
      <c r="I54" s="235">
        <f>IF(F54="-","-",IF(G54="прямая",IF(F54&gt;120%,J54,IF(F54&lt;80%,N54,L54)),IF(F54&lt;80%,J54,IF(F54&gt;120%,N54,L54))))</f>
        <v>0.5</v>
      </c>
      <c r="J54" s="247">
        <v>0.25</v>
      </c>
      <c r="K54" s="232" t="str">
        <f t="shared" si="6"/>
        <v>гр.4&gt;120%</v>
      </c>
      <c r="L54" s="247">
        <v>0.5</v>
      </c>
      <c r="M54" s="232" t="s">
        <v>195</v>
      </c>
      <c r="N54" s="247">
        <v>0.75</v>
      </c>
      <c r="O54" s="232" t="str">
        <f t="shared" si="7"/>
        <v>гр.4&lt;80%</v>
      </c>
    </row>
    <row r="55" spans="2:15" ht="51" outlineLevel="1">
      <c r="B55" s="231" t="s">
        <v>223</v>
      </c>
      <c r="C55" s="232" t="s">
        <v>194</v>
      </c>
      <c r="D55" s="233">
        <v>0</v>
      </c>
      <c r="E55" s="233">
        <v>0</v>
      </c>
      <c r="F55" s="249">
        <f>IF(E55="-","-",IF(D55=E55,1,IF(D55=0,120%,E55/D55)))</f>
        <v>1</v>
      </c>
      <c r="G55" s="232" t="s">
        <v>28</v>
      </c>
      <c r="H55" s="235">
        <f>L55</f>
        <v>0.5</v>
      </c>
      <c r="I55" s="235">
        <f>IF(F55="-","-",IF(G55="прямая",IF(F55&gt;120%,J55,IF(F55&lt;80%,N55,L55)),IF(F55&lt;80%,J55,IF(F55&gt;120%,N55,L55))))</f>
        <v>0.5</v>
      </c>
      <c r="J55" s="247">
        <v>0.25</v>
      </c>
      <c r="K55" s="232" t="str">
        <f t="shared" si="6"/>
        <v>гр.4&lt;80%</v>
      </c>
      <c r="L55" s="247">
        <v>0.5</v>
      </c>
      <c r="M55" s="232" t="s">
        <v>195</v>
      </c>
      <c r="N55" s="247">
        <v>0.75</v>
      </c>
      <c r="O55" s="232" t="str">
        <f t="shared" si="7"/>
        <v>гр.4&gt;120%</v>
      </c>
    </row>
    <row r="56" spans="2:15" s="218" customFormat="1" ht="25.5">
      <c r="B56" s="245" t="s">
        <v>224</v>
      </c>
      <c r="C56" s="229" t="s">
        <v>194</v>
      </c>
      <c r="D56" s="240">
        <f>D57</f>
        <v>0</v>
      </c>
      <c r="E56" s="240">
        <f>E57</f>
        <v>0</v>
      </c>
      <c r="F56" s="239">
        <f>IF(E56="-","-",IF(D56=E56,1,IF(D56=0,120%,E56/D56)))</f>
        <v>1</v>
      </c>
      <c r="G56" s="241" t="s">
        <v>28</v>
      </c>
      <c r="H56" s="230">
        <f>L56</f>
        <v>0.2</v>
      </c>
      <c r="I56" s="230">
        <f>IF(F56="-","-",IF(G56="прямая",IF(F56&gt;120%,J56,IF(F56&lt;80%,N56,L56)),IF(F56&lt;80%,J56,IF(F56&gt;120%,N56,L56))))</f>
        <v>0.2</v>
      </c>
      <c r="J56" s="250">
        <v>0.1</v>
      </c>
      <c r="K56" s="229" t="str">
        <f t="shared" si="6"/>
        <v>гр.4&lt;80%</v>
      </c>
      <c r="L56" s="250">
        <v>0.2</v>
      </c>
      <c r="M56" s="229" t="s">
        <v>195</v>
      </c>
      <c r="N56" s="250">
        <v>0.3</v>
      </c>
      <c r="O56" s="229" t="str">
        <f t="shared" si="7"/>
        <v>гр.4&gt;120%</v>
      </c>
    </row>
    <row r="57" spans="2:15" ht="38.25" outlineLevel="1">
      <c r="B57" s="231" t="s">
        <v>225</v>
      </c>
      <c r="C57" s="232" t="s">
        <v>194</v>
      </c>
      <c r="D57" s="233">
        <v>0</v>
      </c>
      <c r="E57" s="233">
        <v>0</v>
      </c>
      <c r="F57" s="229" t="s">
        <v>8</v>
      </c>
      <c r="G57" s="229" t="s">
        <v>8</v>
      </c>
      <c r="H57" s="229" t="s">
        <v>8</v>
      </c>
      <c r="I57" s="229" t="s">
        <v>8</v>
      </c>
      <c r="J57" s="229" t="s">
        <v>8</v>
      </c>
      <c r="K57" s="229" t="s">
        <v>8</v>
      </c>
      <c r="L57" s="229" t="s">
        <v>8</v>
      </c>
      <c r="M57" s="229" t="s">
        <v>8</v>
      </c>
      <c r="N57" s="229" t="s">
        <v>8</v>
      </c>
      <c r="O57" s="229" t="s">
        <v>8</v>
      </c>
    </row>
    <row r="58" spans="2:15" s="218" customFormat="1" ht="12.75">
      <c r="B58" s="242" t="s">
        <v>226</v>
      </c>
      <c r="C58" s="220" t="s">
        <v>8</v>
      </c>
      <c r="D58" s="220" t="s">
        <v>8</v>
      </c>
      <c r="E58" s="220" t="s">
        <v>8</v>
      </c>
      <c r="F58" s="220" t="s">
        <v>8</v>
      </c>
      <c r="G58" s="220" t="s">
        <v>8</v>
      </c>
      <c r="H58" s="221">
        <f>AVERAGE(H45,H51,H53,H56)</f>
        <v>0.425</v>
      </c>
      <c r="I58" s="221">
        <f>AVERAGE(I45,I51,I53,I56)</f>
        <v>0.44583333333333336</v>
      </c>
      <c r="J58" s="220" t="s">
        <v>8</v>
      </c>
      <c r="K58" s="220" t="s">
        <v>8</v>
      </c>
      <c r="L58" s="220" t="s">
        <v>8</v>
      </c>
      <c r="M58" s="220" t="s">
        <v>8</v>
      </c>
      <c r="N58" s="220" t="s">
        <v>8</v>
      </c>
      <c r="O58" s="220" t="s">
        <v>8</v>
      </c>
    </row>
    <row r="59" spans="2:15" s="218" customFormat="1" ht="15">
      <c r="B59" s="224" t="s">
        <v>227</v>
      </c>
      <c r="C59" s="226"/>
      <c r="D59" s="226"/>
      <c r="E59" s="226"/>
      <c r="F59" s="226"/>
      <c r="G59" s="226"/>
      <c r="H59" s="226"/>
      <c r="I59" s="226"/>
      <c r="J59" s="243" t="s">
        <v>8</v>
      </c>
      <c r="K59" s="243" t="s">
        <v>8</v>
      </c>
      <c r="L59" s="243" t="s">
        <v>8</v>
      </c>
      <c r="M59" s="243" t="s">
        <v>8</v>
      </c>
      <c r="N59" s="243" t="s">
        <v>8</v>
      </c>
      <c r="O59" s="244" t="s">
        <v>8</v>
      </c>
    </row>
    <row r="60" spans="2:15" s="218" customFormat="1" ht="25.5">
      <c r="B60" s="228" t="s">
        <v>228</v>
      </c>
      <c r="C60" s="229" t="s">
        <v>204</v>
      </c>
      <c r="D60" s="238">
        <v>1</v>
      </c>
      <c r="E60" s="238">
        <v>1</v>
      </c>
      <c r="F60" s="239">
        <f>IF(E60="-","-",IF(D60=E60,1,IF(D60=0,120%,E60/D60)))</f>
        <v>1</v>
      </c>
      <c r="G60" s="229" t="s">
        <v>11</v>
      </c>
      <c r="H60" s="230">
        <f>L60</f>
        <v>2</v>
      </c>
      <c r="I60" s="230">
        <f>IF(F60="-","-",IF(G60="прямая",IF(F60&gt;120%,J60,IF(F60&lt;80%,N60,L60)),IF(F60&lt;80%,J60,IF(F60&gt;120%,N60,L60))))</f>
        <v>2</v>
      </c>
      <c r="J60" s="229">
        <v>1</v>
      </c>
      <c r="K60" s="229" t="str">
        <f t="shared" si="6"/>
        <v>гр.4&gt;120%</v>
      </c>
      <c r="L60" s="229">
        <v>2</v>
      </c>
      <c r="M60" s="229" t="s">
        <v>195</v>
      </c>
      <c r="N60" s="229">
        <v>3</v>
      </c>
      <c r="O60" s="229" t="str">
        <f t="shared" si="7"/>
        <v>гр.4&lt;80%</v>
      </c>
    </row>
    <row r="61" spans="2:15" s="218" customFormat="1" ht="12.75">
      <c r="B61" s="245" t="s">
        <v>49</v>
      </c>
      <c r="C61" s="229" t="s">
        <v>8</v>
      </c>
      <c r="D61" s="229" t="s">
        <v>8</v>
      </c>
      <c r="E61" s="229" t="s">
        <v>8</v>
      </c>
      <c r="F61" s="248" t="s">
        <v>8</v>
      </c>
      <c r="G61" s="229" t="s">
        <v>8</v>
      </c>
      <c r="H61" s="230">
        <f>AVERAGE(H62:H67)</f>
        <v>2</v>
      </c>
      <c r="I61" s="230">
        <f>AVERAGE(I62:I67)</f>
        <v>2</v>
      </c>
      <c r="J61" s="229" t="s">
        <v>8</v>
      </c>
      <c r="K61" s="229" t="s">
        <v>8</v>
      </c>
      <c r="L61" s="229" t="s">
        <v>8</v>
      </c>
      <c r="M61" s="229" t="s">
        <v>8</v>
      </c>
      <c r="N61" s="229" t="s">
        <v>8</v>
      </c>
      <c r="O61" s="229" t="s">
        <v>8</v>
      </c>
    </row>
    <row r="62" spans="2:15" ht="38.25" outlineLevel="1">
      <c r="B62" s="231" t="s">
        <v>229</v>
      </c>
      <c r="C62" s="232" t="s">
        <v>194</v>
      </c>
      <c r="D62" s="233">
        <v>0</v>
      </c>
      <c r="E62" s="233">
        <v>0</v>
      </c>
      <c r="F62" s="234">
        <f aca="true" t="shared" si="8" ref="F62:F67">IF(E62="-","-",IF(D62=E62,1,IF(D62=0,120%,E62/D62)))</f>
        <v>1</v>
      </c>
      <c r="G62" s="232" t="s">
        <v>28</v>
      </c>
      <c r="H62" s="235">
        <f aca="true" t="shared" si="9" ref="H62:H67">L62</f>
        <v>2</v>
      </c>
      <c r="I62" s="235">
        <f aca="true" t="shared" si="10" ref="I62:I67">IF(F62="-","-",IF(G62="прямая",IF(F62&gt;120%,J62,IF(F62&lt;80%,N62,L62)),IF(F62&lt;80%,J62,IF(F62&gt;120%,N62,L62))))</f>
        <v>2</v>
      </c>
      <c r="J62" s="232">
        <v>1</v>
      </c>
      <c r="K62" s="232" t="str">
        <f t="shared" si="6"/>
        <v>гр.4&lt;80%</v>
      </c>
      <c r="L62" s="232">
        <v>2</v>
      </c>
      <c r="M62" s="232" t="s">
        <v>195</v>
      </c>
      <c r="N62" s="232">
        <v>3</v>
      </c>
      <c r="O62" s="232" t="str">
        <f t="shared" si="7"/>
        <v>гр.4&gt;120%</v>
      </c>
    </row>
    <row r="63" spans="2:15" ht="38.25" outlineLevel="1">
      <c r="B63" s="231" t="s">
        <v>51</v>
      </c>
      <c r="C63" s="232" t="s">
        <v>194</v>
      </c>
      <c r="D63" s="233">
        <v>0</v>
      </c>
      <c r="E63" s="233">
        <v>0</v>
      </c>
      <c r="F63" s="234">
        <f t="shared" si="8"/>
        <v>1</v>
      </c>
      <c r="G63" s="232" t="s">
        <v>11</v>
      </c>
      <c r="H63" s="235">
        <f t="shared" si="9"/>
        <v>2</v>
      </c>
      <c r="I63" s="235">
        <f t="shared" si="10"/>
        <v>2</v>
      </c>
      <c r="J63" s="232">
        <v>1</v>
      </c>
      <c r="K63" s="232" t="str">
        <f t="shared" si="6"/>
        <v>гр.4&gt;120%</v>
      </c>
      <c r="L63" s="232">
        <v>2</v>
      </c>
      <c r="M63" s="232" t="s">
        <v>195</v>
      </c>
      <c r="N63" s="232">
        <v>3</v>
      </c>
      <c r="O63" s="232" t="str">
        <f t="shared" si="7"/>
        <v>гр.4&lt;80%</v>
      </c>
    </row>
    <row r="64" spans="2:15" ht="51" outlineLevel="1">
      <c r="B64" s="231" t="s">
        <v>230</v>
      </c>
      <c r="C64" s="232" t="s">
        <v>194</v>
      </c>
      <c r="D64" s="233">
        <v>0</v>
      </c>
      <c r="E64" s="233">
        <v>0</v>
      </c>
      <c r="F64" s="234">
        <f t="shared" si="8"/>
        <v>1</v>
      </c>
      <c r="G64" s="232" t="s">
        <v>28</v>
      </c>
      <c r="H64" s="235">
        <f t="shared" si="9"/>
        <v>2</v>
      </c>
      <c r="I64" s="235">
        <f t="shared" si="10"/>
        <v>2</v>
      </c>
      <c r="J64" s="232">
        <v>1</v>
      </c>
      <c r="K64" s="232" t="str">
        <f t="shared" si="6"/>
        <v>гр.4&lt;80%</v>
      </c>
      <c r="L64" s="232">
        <v>2</v>
      </c>
      <c r="M64" s="232" t="s">
        <v>195</v>
      </c>
      <c r="N64" s="232">
        <v>3</v>
      </c>
      <c r="O64" s="232" t="str">
        <f t="shared" si="7"/>
        <v>гр.4&gt;120%</v>
      </c>
    </row>
    <row r="65" spans="2:15" ht="51" outlineLevel="1">
      <c r="B65" s="231" t="s">
        <v>68</v>
      </c>
      <c r="C65" s="232" t="s">
        <v>194</v>
      </c>
      <c r="D65" s="233">
        <v>0</v>
      </c>
      <c r="E65" s="233">
        <v>0</v>
      </c>
      <c r="F65" s="234">
        <f t="shared" si="8"/>
        <v>1</v>
      </c>
      <c r="G65" s="232" t="s">
        <v>28</v>
      </c>
      <c r="H65" s="235">
        <f t="shared" si="9"/>
        <v>2</v>
      </c>
      <c r="I65" s="235">
        <f t="shared" si="10"/>
        <v>2</v>
      </c>
      <c r="J65" s="232">
        <v>1</v>
      </c>
      <c r="K65" s="232" t="str">
        <f t="shared" si="6"/>
        <v>гр.4&lt;80%</v>
      </c>
      <c r="L65" s="232">
        <v>2</v>
      </c>
      <c r="M65" s="232" t="s">
        <v>195</v>
      </c>
      <c r="N65" s="232">
        <v>3</v>
      </c>
      <c r="O65" s="232" t="str">
        <f t="shared" si="7"/>
        <v>гр.4&gt;120%</v>
      </c>
    </row>
    <row r="66" spans="2:15" ht="38.25" outlineLevel="1">
      <c r="B66" s="231" t="s">
        <v>69</v>
      </c>
      <c r="C66" s="232" t="s">
        <v>194</v>
      </c>
      <c r="D66" s="233">
        <v>0</v>
      </c>
      <c r="E66" s="233">
        <v>0</v>
      </c>
      <c r="F66" s="234">
        <f t="shared" si="8"/>
        <v>1</v>
      </c>
      <c r="G66" s="232" t="s">
        <v>11</v>
      </c>
      <c r="H66" s="235">
        <f t="shared" si="9"/>
        <v>2</v>
      </c>
      <c r="I66" s="235">
        <f t="shared" si="10"/>
        <v>2</v>
      </c>
      <c r="J66" s="232">
        <v>1</v>
      </c>
      <c r="K66" s="232" t="str">
        <f t="shared" si="6"/>
        <v>гр.4&gt;120%</v>
      </c>
      <c r="L66" s="232">
        <v>2</v>
      </c>
      <c r="M66" s="232" t="s">
        <v>195</v>
      </c>
      <c r="N66" s="232">
        <v>3</v>
      </c>
      <c r="O66" s="232" t="str">
        <f t="shared" si="7"/>
        <v>гр.4&lt;80%</v>
      </c>
    </row>
    <row r="67" spans="2:15" ht="25.5" outlineLevel="1">
      <c r="B67" s="231" t="s">
        <v>231</v>
      </c>
      <c r="C67" s="232" t="s">
        <v>176</v>
      </c>
      <c r="D67" s="236">
        <v>1</v>
      </c>
      <c r="E67" s="236">
        <v>1</v>
      </c>
      <c r="F67" s="234">
        <f t="shared" si="8"/>
        <v>1</v>
      </c>
      <c r="G67" s="232" t="s">
        <v>11</v>
      </c>
      <c r="H67" s="235">
        <f t="shared" si="9"/>
        <v>2</v>
      </c>
      <c r="I67" s="235">
        <f t="shared" si="10"/>
        <v>2</v>
      </c>
      <c r="J67" s="232">
        <v>1</v>
      </c>
      <c r="K67" s="232" t="str">
        <f t="shared" si="6"/>
        <v>гр.4&gt;120%</v>
      </c>
      <c r="L67" s="232">
        <v>2</v>
      </c>
      <c r="M67" s="232" t="s">
        <v>195</v>
      </c>
      <c r="N67" s="232">
        <v>3</v>
      </c>
      <c r="O67" s="232" t="str">
        <f t="shared" si="7"/>
        <v>гр.4&lt;80%</v>
      </c>
    </row>
    <row r="68" spans="2:15" s="218" customFormat="1" ht="12.75">
      <c r="B68" s="245" t="s">
        <v>232</v>
      </c>
      <c r="C68" s="229" t="s">
        <v>8</v>
      </c>
      <c r="D68" s="229" t="s">
        <v>8</v>
      </c>
      <c r="E68" s="229" t="s">
        <v>8</v>
      </c>
      <c r="F68" s="248" t="s">
        <v>8</v>
      </c>
      <c r="G68" s="229" t="s">
        <v>8</v>
      </c>
      <c r="H68" s="230">
        <f>AVERAGE(H69:H70)</f>
        <v>2</v>
      </c>
      <c r="I68" s="230">
        <f>AVERAGE(I69:I70)</f>
        <v>2</v>
      </c>
      <c r="J68" s="229" t="s">
        <v>8</v>
      </c>
      <c r="K68" s="229" t="s">
        <v>8</v>
      </c>
      <c r="L68" s="229" t="s">
        <v>8</v>
      </c>
      <c r="M68" s="229" t="s">
        <v>8</v>
      </c>
      <c r="N68" s="229" t="s">
        <v>8</v>
      </c>
      <c r="O68" s="229" t="s">
        <v>8</v>
      </c>
    </row>
    <row r="69" spans="2:15" ht="25.5" outlineLevel="1">
      <c r="B69" s="231" t="s">
        <v>233</v>
      </c>
      <c r="C69" s="232" t="s">
        <v>214</v>
      </c>
      <c r="D69" s="236">
        <v>7</v>
      </c>
      <c r="E69" s="236">
        <v>7</v>
      </c>
      <c r="F69" s="234">
        <f>IF(E69="-","-",IF(D69=E69,1,IF(D69=0,120%,E69/D69)))</f>
        <v>1</v>
      </c>
      <c r="G69" s="232" t="s">
        <v>28</v>
      </c>
      <c r="H69" s="235">
        <f>L69</f>
        <v>2</v>
      </c>
      <c r="I69" s="235">
        <f>IF(F69="-","-",IF(G69="прямая",IF(F69&gt;120%,J69,IF(F69&lt;80%,N69,L69)),IF(F69&lt;80%,J69,IF(F69&gt;120%,N69,L69))))</f>
        <v>2</v>
      </c>
      <c r="J69" s="232">
        <v>1</v>
      </c>
      <c r="K69" s="232" t="str">
        <f t="shared" si="6"/>
        <v>гр.4&lt;80%</v>
      </c>
      <c r="L69" s="232">
        <v>2</v>
      </c>
      <c r="M69" s="232" t="s">
        <v>195</v>
      </c>
      <c r="N69" s="232">
        <v>3</v>
      </c>
      <c r="O69" s="232" t="str">
        <f t="shared" si="7"/>
        <v>гр.4&gt;120%</v>
      </c>
    </row>
    <row r="70" spans="2:15" ht="25.5" outlineLevel="1">
      <c r="B70" s="231" t="s">
        <v>234</v>
      </c>
      <c r="C70" s="232" t="s">
        <v>8</v>
      </c>
      <c r="D70" s="232" t="s">
        <v>8</v>
      </c>
      <c r="E70" s="232" t="s">
        <v>8</v>
      </c>
      <c r="F70" s="232" t="s">
        <v>8</v>
      </c>
      <c r="G70" s="232" t="s">
        <v>8</v>
      </c>
      <c r="H70" s="235">
        <f>AVERAGE(H71:H73)</f>
        <v>2</v>
      </c>
      <c r="I70" s="235">
        <f>AVERAGE(I71:I73)</f>
        <v>2</v>
      </c>
      <c r="J70" s="232" t="s">
        <v>8</v>
      </c>
      <c r="K70" s="232" t="s">
        <v>8</v>
      </c>
      <c r="L70" s="232" t="s">
        <v>8</v>
      </c>
      <c r="M70" s="232" t="s">
        <v>8</v>
      </c>
      <c r="N70" s="232" t="s">
        <v>8</v>
      </c>
      <c r="O70" s="232" t="s">
        <v>8</v>
      </c>
    </row>
    <row r="71" spans="2:15" ht="12.75" outlineLevel="1">
      <c r="B71" s="231" t="s">
        <v>235</v>
      </c>
      <c r="C71" s="232" t="s">
        <v>236</v>
      </c>
      <c r="D71" s="236">
        <v>0</v>
      </c>
      <c r="E71" s="236">
        <v>0</v>
      </c>
      <c r="F71" s="234">
        <f>IF(E71="-","-",IF(D71=E71,1,IF(D71=0,120%,E71/D71)))</f>
        <v>1</v>
      </c>
      <c r="G71" s="232" t="s">
        <v>11</v>
      </c>
      <c r="H71" s="235">
        <f>L71</f>
        <v>2</v>
      </c>
      <c r="I71" s="235">
        <f>IF(F71="-","-",IF(G71="прямая",IF(F71&gt;120%,J71,IF(F71&lt;80%,N71,L71)),IF(F71&lt;80%,J71,IF(F71&gt;120%,N71,L71))))</f>
        <v>2</v>
      </c>
      <c r="J71" s="232">
        <v>1</v>
      </c>
      <c r="K71" s="232" t="str">
        <f t="shared" si="6"/>
        <v>гр.4&gt;120%</v>
      </c>
      <c r="L71" s="232">
        <v>2</v>
      </c>
      <c r="M71" s="232" t="s">
        <v>195</v>
      </c>
      <c r="N71" s="232">
        <v>3</v>
      </c>
      <c r="O71" s="232" t="str">
        <f t="shared" si="7"/>
        <v>гр.4&lt;80%</v>
      </c>
    </row>
    <row r="72" spans="2:15" ht="12.75" outlineLevel="1">
      <c r="B72" s="231" t="s">
        <v>237</v>
      </c>
      <c r="C72" s="232" t="s">
        <v>236</v>
      </c>
      <c r="D72" s="236">
        <v>0</v>
      </c>
      <c r="E72" s="236">
        <v>0</v>
      </c>
      <c r="F72" s="234">
        <f>IF(E72="-","-",IF(D72=E72,1,IF(D72=0,120%,E72/D72)))</f>
        <v>1</v>
      </c>
      <c r="G72" s="232" t="s">
        <v>11</v>
      </c>
      <c r="H72" s="235">
        <f>L72</f>
        <v>2</v>
      </c>
      <c r="I72" s="235">
        <f>IF(F72="-","-",IF(G72="прямая",IF(F72&gt;120%,J72,IF(F72&lt;80%,N72,L72)),IF(F72&lt;80%,J72,IF(F72&gt;120%,N72,L72))))</f>
        <v>2</v>
      </c>
      <c r="J72" s="232">
        <v>1</v>
      </c>
      <c r="K72" s="232" t="str">
        <f t="shared" si="6"/>
        <v>гр.4&gt;120%</v>
      </c>
      <c r="L72" s="232">
        <v>2</v>
      </c>
      <c r="M72" s="232" t="s">
        <v>195</v>
      </c>
      <c r="N72" s="232">
        <v>3</v>
      </c>
      <c r="O72" s="232" t="str">
        <f t="shared" si="7"/>
        <v>гр.4&lt;80%</v>
      </c>
    </row>
    <row r="73" spans="2:15" ht="12.75" outlineLevel="1">
      <c r="B73" s="217" t="s">
        <v>238</v>
      </c>
      <c r="C73" s="232" t="s">
        <v>236</v>
      </c>
      <c r="D73" s="236">
        <v>0</v>
      </c>
      <c r="E73" s="236">
        <v>0</v>
      </c>
      <c r="F73" s="234">
        <f>IF(E73="-","-",IF(D73=E73,1,IF(D73=0,120%,E73/D73)))</f>
        <v>1</v>
      </c>
      <c r="G73" s="232" t="s">
        <v>11</v>
      </c>
      <c r="H73" s="235">
        <f>L73</f>
        <v>2</v>
      </c>
      <c r="I73" s="235">
        <f>IF(F73="-","-",IF(G73="прямая",IF(F73&gt;120%,J73,IF(F73&lt;80%,N73,L73)),IF(F73&lt;80%,J73,IF(F73&gt;120%,N73,L73))))</f>
        <v>2</v>
      </c>
      <c r="J73" s="232">
        <v>1</v>
      </c>
      <c r="K73" s="232" t="str">
        <f t="shared" si="6"/>
        <v>гр.4&gt;120%</v>
      </c>
      <c r="L73" s="232">
        <v>2</v>
      </c>
      <c r="M73" s="232" t="s">
        <v>195</v>
      </c>
      <c r="N73" s="232">
        <v>3</v>
      </c>
      <c r="O73" s="232" t="str">
        <f t="shared" si="7"/>
        <v>гр.4&lt;80%</v>
      </c>
    </row>
    <row r="74" spans="2:15" s="218" customFormat="1" ht="12.75">
      <c r="B74" s="245" t="s">
        <v>59</v>
      </c>
      <c r="C74" s="229" t="s">
        <v>236</v>
      </c>
      <c r="D74" s="230">
        <f>D75</f>
        <v>0</v>
      </c>
      <c r="E74" s="230">
        <f>E75</f>
        <v>0</v>
      </c>
      <c r="F74" s="239">
        <f>IF(E74="-","-",IF(D74=E74,1,IF(D74=0,120%,E74/D74)))</f>
        <v>1</v>
      </c>
      <c r="G74" s="241" t="s">
        <v>28</v>
      </c>
      <c r="H74" s="230">
        <f>L74</f>
        <v>2</v>
      </c>
      <c r="I74" s="230">
        <f>IF(F74="-","-",IF(G74="прямая",IF(F74&gt;120%,J74,IF(F74&lt;80%,N74,L74)),IF(F74&lt;80%,J74,IF(F74&gt;120%,N74,L74))))</f>
        <v>2</v>
      </c>
      <c r="J74" s="232">
        <v>1</v>
      </c>
      <c r="K74" s="232" t="str">
        <f t="shared" si="6"/>
        <v>гр.4&lt;80%</v>
      </c>
      <c r="L74" s="232">
        <v>2</v>
      </c>
      <c r="M74" s="232" t="s">
        <v>195</v>
      </c>
      <c r="N74" s="232">
        <v>3</v>
      </c>
      <c r="O74" s="232" t="str">
        <f t="shared" si="7"/>
        <v>гр.4&gt;120%</v>
      </c>
    </row>
    <row r="75" spans="2:15" ht="25.5" outlineLevel="1">
      <c r="B75" s="231" t="s">
        <v>60</v>
      </c>
      <c r="C75" s="232" t="s">
        <v>236</v>
      </c>
      <c r="D75" s="236">
        <v>0</v>
      </c>
      <c r="E75" s="236">
        <v>0</v>
      </c>
      <c r="F75" s="229" t="s">
        <v>8</v>
      </c>
      <c r="G75" s="229" t="s">
        <v>8</v>
      </c>
      <c r="H75" s="229" t="s">
        <v>8</v>
      </c>
      <c r="I75" s="229" t="s">
        <v>8</v>
      </c>
      <c r="J75" s="229" t="s">
        <v>8</v>
      </c>
      <c r="K75" s="229" t="s">
        <v>8</v>
      </c>
      <c r="L75" s="229" t="s">
        <v>8</v>
      </c>
      <c r="M75" s="229" t="s">
        <v>8</v>
      </c>
      <c r="N75" s="229" t="s">
        <v>8</v>
      </c>
      <c r="O75" s="229" t="s">
        <v>8</v>
      </c>
    </row>
    <row r="76" spans="2:15" s="218" customFormat="1" ht="38.25">
      <c r="B76" s="245" t="s">
        <v>61</v>
      </c>
      <c r="C76" s="229" t="s">
        <v>8</v>
      </c>
      <c r="D76" s="229" t="s">
        <v>8</v>
      </c>
      <c r="E76" s="229" t="s">
        <v>8</v>
      </c>
      <c r="F76" s="248" t="s">
        <v>8</v>
      </c>
      <c r="G76" s="229" t="s">
        <v>8</v>
      </c>
      <c r="H76" s="230">
        <f>AVERAGE(H77:H78)</f>
        <v>2</v>
      </c>
      <c r="I76" s="230">
        <f>_xlfn.IFERROR(AVERAGE(I77:I78),"-")</f>
        <v>2</v>
      </c>
      <c r="J76" s="229" t="s">
        <v>8</v>
      </c>
      <c r="K76" s="229" t="s">
        <v>8</v>
      </c>
      <c r="L76" s="229" t="s">
        <v>8</v>
      </c>
      <c r="M76" s="229" t="s">
        <v>8</v>
      </c>
      <c r="N76" s="229" t="s">
        <v>8</v>
      </c>
      <c r="O76" s="229" t="s">
        <v>8</v>
      </c>
    </row>
    <row r="77" spans="2:15" ht="25.5" outlineLevel="1">
      <c r="B77" s="231" t="s">
        <v>239</v>
      </c>
      <c r="C77" s="232" t="s">
        <v>240</v>
      </c>
      <c r="D77" s="236">
        <v>0</v>
      </c>
      <c r="E77" s="236">
        <v>0</v>
      </c>
      <c r="F77" s="234">
        <f>IF(E77="-","-",IF(D77=E77,1,IF(D77=0,120%,E77/D77)))</f>
        <v>1</v>
      </c>
      <c r="G77" s="232" t="s">
        <v>28</v>
      </c>
      <c r="H77" s="235">
        <f>L77</f>
        <v>2</v>
      </c>
      <c r="I77" s="235">
        <f>IF(F77="-","-",IF(G77="прямая",IF(F77&gt;120%,J77,IF(F77&lt;80%,N77,L77)),IF(F77&lt;80%,J77,IF(F77&gt;120%,N77,L77))))</f>
        <v>2</v>
      </c>
      <c r="J77" s="232">
        <v>1</v>
      </c>
      <c r="K77" s="232" t="str">
        <f t="shared" si="6"/>
        <v>гр.4&lt;80%</v>
      </c>
      <c r="L77" s="232">
        <v>2</v>
      </c>
      <c r="M77" s="232" t="s">
        <v>195</v>
      </c>
      <c r="N77" s="232">
        <v>3</v>
      </c>
      <c r="O77" s="232" t="str">
        <f t="shared" si="7"/>
        <v>гр.4&gt;120%</v>
      </c>
    </row>
    <row r="78" spans="2:15" ht="51" outlineLevel="1">
      <c r="B78" s="231" t="s">
        <v>241</v>
      </c>
      <c r="C78" s="232" t="s">
        <v>194</v>
      </c>
      <c r="D78" s="233">
        <v>0</v>
      </c>
      <c r="E78" s="233">
        <v>0</v>
      </c>
      <c r="F78" s="234">
        <f>IF(E78="-","-",IF(D78=E78,1,IF(D78=0,120%,E78/D78)))</f>
        <v>1</v>
      </c>
      <c r="G78" s="232" t="s">
        <v>11</v>
      </c>
      <c r="H78" s="235">
        <f>L78</f>
        <v>2</v>
      </c>
      <c r="I78" s="235">
        <f>IF(F78="-","-",IF(G78="прямая",IF(F78&gt;120%,J78,IF(F78&lt;80%,N78,L78)),IF(F78&lt;80%,J78,IF(F78&gt;120%,N78,L78))))</f>
        <v>2</v>
      </c>
      <c r="J78" s="232">
        <v>1</v>
      </c>
      <c r="K78" s="232" t="str">
        <f t="shared" si="6"/>
        <v>гр.4&gt;120%</v>
      </c>
      <c r="L78" s="232">
        <v>2</v>
      </c>
      <c r="M78" s="232" t="s">
        <v>195</v>
      </c>
      <c r="N78" s="232">
        <v>3</v>
      </c>
      <c r="O78" s="232" t="str">
        <f t="shared" si="7"/>
        <v>гр.4&lt;80%</v>
      </c>
    </row>
    <row r="79" spans="2:15" s="218" customFormat="1" ht="12.75">
      <c r="B79" s="242" t="s">
        <v>242</v>
      </c>
      <c r="C79" s="220" t="s">
        <v>8</v>
      </c>
      <c r="D79" s="220" t="s">
        <v>8</v>
      </c>
      <c r="E79" s="220" t="s">
        <v>8</v>
      </c>
      <c r="F79" s="220" t="s">
        <v>8</v>
      </c>
      <c r="G79" s="220" t="s">
        <v>8</v>
      </c>
      <c r="H79" s="221">
        <f>AVERAGE(H60,H61,H68,H74,H76)</f>
        <v>2</v>
      </c>
      <c r="I79" s="221">
        <f>AVERAGE(I60,I61,I68,I74,I76)</f>
        <v>2</v>
      </c>
      <c r="J79" s="220" t="s">
        <v>8</v>
      </c>
      <c r="K79" s="220" t="s">
        <v>8</v>
      </c>
      <c r="L79" s="220" t="s">
        <v>8</v>
      </c>
      <c r="M79" s="220" t="s">
        <v>8</v>
      </c>
      <c r="N79" s="220" t="s">
        <v>8</v>
      </c>
      <c r="O79" s="220" t="s">
        <v>8</v>
      </c>
    </row>
    <row r="80" spans="2:15" s="218" customFormat="1" ht="15">
      <c r="B80" s="224" t="s">
        <v>243</v>
      </c>
      <c r="C80" s="226"/>
      <c r="D80" s="226"/>
      <c r="E80" s="226"/>
      <c r="F80" s="226"/>
      <c r="G80" s="226"/>
      <c r="H80" s="251">
        <f>0.1*H43+0.7*H58+0.2*H79</f>
        <v>0.8975</v>
      </c>
      <c r="I80" s="251">
        <f>0.1*I43+0.7*I58+0.2*I79</f>
        <v>0.9120833333333334</v>
      </c>
      <c r="J80" s="243"/>
      <c r="K80" s="243"/>
      <c r="L80" s="243"/>
      <c r="M80" s="243"/>
      <c r="N80" s="243"/>
      <c r="O80" s="244"/>
    </row>
    <row r="82" ht="19.5">
      <c r="B82" s="207" t="s">
        <v>244</v>
      </c>
    </row>
    <row r="83" spans="2:4" ht="32.25" customHeight="1">
      <c r="B83" s="211" t="s">
        <v>78</v>
      </c>
      <c r="C83" s="211" t="s">
        <v>245</v>
      </c>
      <c r="D83" s="211" t="s">
        <v>246</v>
      </c>
    </row>
    <row r="84" spans="2:4" ht="20.25" customHeight="1">
      <c r="B84" s="242" t="s">
        <v>247</v>
      </c>
      <c r="C84" s="211" t="s">
        <v>77</v>
      </c>
      <c r="D84" s="211" t="s">
        <v>77</v>
      </c>
    </row>
    <row r="85" spans="1:4" ht="51">
      <c r="A85" s="252"/>
      <c r="B85" s="253" t="s">
        <v>248</v>
      </c>
      <c r="C85" s="254">
        <v>1021</v>
      </c>
      <c r="D85" s="254">
        <v>1108</v>
      </c>
    </row>
    <row r="86" spans="1:4" ht="96.75" customHeight="1">
      <c r="A86" s="252"/>
      <c r="B86" s="253" t="s">
        <v>249</v>
      </c>
      <c r="C86" s="254">
        <v>200</v>
      </c>
      <c r="D86" s="254">
        <v>349</v>
      </c>
    </row>
    <row r="87" spans="1:4" ht="25.5">
      <c r="A87" s="252"/>
      <c r="B87" s="242" t="s">
        <v>250</v>
      </c>
      <c r="C87" s="255">
        <f>C85/MAX(1,(C85-C86))</f>
        <v>1.243605359317905</v>
      </c>
      <c r="D87" s="255">
        <f>D85/MAX(1,(D85-D86))</f>
        <v>1.4598155467720686</v>
      </c>
    </row>
    <row r="88" spans="2:4" ht="17.25" customHeight="1">
      <c r="B88" s="242" t="s">
        <v>251</v>
      </c>
      <c r="C88" s="217"/>
      <c r="D88" s="217"/>
    </row>
    <row r="89" spans="1:4" ht="38.25">
      <c r="A89" s="252"/>
      <c r="B89" s="253" t="s">
        <v>252</v>
      </c>
      <c r="C89" s="254">
        <v>700</v>
      </c>
      <c r="D89" s="254">
        <v>535</v>
      </c>
    </row>
    <row r="90" spans="1:4" ht="76.5">
      <c r="A90" s="252"/>
      <c r="B90" s="253" t="s">
        <v>253</v>
      </c>
      <c r="C90" s="254">
        <v>0</v>
      </c>
      <c r="D90" s="254">
        <v>200</v>
      </c>
    </row>
    <row r="91" spans="1:4" ht="25.5">
      <c r="A91" s="252"/>
      <c r="B91" s="242" t="s">
        <v>254</v>
      </c>
      <c r="C91" s="255">
        <f>C89/MAX(1,(C89-C90))</f>
        <v>1</v>
      </c>
      <c r="D91" s="255">
        <f>D89/MAX(1,(D89-D90))</f>
        <v>1.5970149253731343</v>
      </c>
    </row>
    <row r="92" spans="2:4" ht="25.5">
      <c r="B92" s="242" t="s">
        <v>255</v>
      </c>
      <c r="C92" s="217"/>
      <c r="D92" s="217"/>
    </row>
    <row r="93" spans="1:4" ht="51">
      <c r="A93" s="252"/>
      <c r="B93" s="253" t="s">
        <v>256</v>
      </c>
      <c r="C93" s="254">
        <v>0</v>
      </c>
      <c r="D93" s="254">
        <v>0</v>
      </c>
    </row>
    <row r="94" spans="1:4" ht="25.5">
      <c r="A94" s="252"/>
      <c r="B94" s="253" t="s">
        <v>257</v>
      </c>
      <c r="C94" s="254">
        <v>150</v>
      </c>
      <c r="D94" s="254">
        <v>118.6</v>
      </c>
    </row>
    <row r="95" spans="1:4" ht="25.5">
      <c r="A95" s="252"/>
      <c r="B95" s="242" t="s">
        <v>258</v>
      </c>
      <c r="C95" s="255">
        <f>C94/MAX(1,(C94-C93))</f>
        <v>1</v>
      </c>
      <c r="D95" s="255">
        <f>D94/MAX(1,(D94-D93))</f>
        <v>1</v>
      </c>
    </row>
    <row r="96" spans="2:4" ht="15">
      <c r="B96" s="256" t="s">
        <v>259</v>
      </c>
      <c r="C96" s="255">
        <f>IF((C87*0.4+C91*0.4+C95*0.2)=0,0,IF((C87*0.4+C91*0.4+C95*0.2)&lt;1,1,(C87*0.4+C91*0.4+C95*0.2)))</f>
        <v>1.097442143727162</v>
      </c>
      <c r="D96" s="255">
        <f>IF((D87*0.4+D91*0.4+D95*0.2)=0,0,IF((D87*0.4+D91*0.4+D95*0.2)&lt;1,1,(D87*0.4+D91*0.4+D95*0.2)))</f>
        <v>1.4227321888580813</v>
      </c>
    </row>
    <row r="97" spans="2:4" ht="15">
      <c r="B97" s="257"/>
      <c r="C97" s="258">
        <f>C87*0.4+C91*0.4+C95*0.2</f>
        <v>1.097442143727162</v>
      </c>
      <c r="D97" s="259">
        <f>D87*0.4+D91*0.4+D95*0.2</f>
        <v>1.4227321888580813</v>
      </c>
    </row>
    <row r="98" ht="15">
      <c r="B98" s="257"/>
    </row>
    <row r="99" ht="19.5">
      <c r="B99" s="207" t="s">
        <v>260</v>
      </c>
    </row>
    <row r="100" spans="2:9" ht="54.75" customHeight="1">
      <c r="B100" s="208" t="s">
        <v>78</v>
      </c>
      <c r="C100" s="209" t="s">
        <v>170</v>
      </c>
      <c r="D100" s="260" t="s">
        <v>261</v>
      </c>
      <c r="E100" s="261"/>
      <c r="F100" s="208" t="s">
        <v>262</v>
      </c>
      <c r="G100" s="208" t="s">
        <v>263</v>
      </c>
      <c r="H100" s="208" t="s">
        <v>264</v>
      </c>
      <c r="I100" s="208" t="s">
        <v>265</v>
      </c>
    </row>
    <row r="101" spans="2:9" ht="30.75" customHeight="1">
      <c r="B101" s="208"/>
      <c r="C101" s="210"/>
      <c r="D101" s="211" t="s">
        <v>171</v>
      </c>
      <c r="E101" s="211" t="s">
        <v>172</v>
      </c>
      <c r="F101" s="208"/>
      <c r="G101" s="208"/>
      <c r="H101" s="208"/>
      <c r="I101" s="208"/>
    </row>
    <row r="102" spans="2:9" ht="12.75">
      <c r="B102" s="262" t="s">
        <v>177</v>
      </c>
      <c r="C102" s="214" t="s">
        <v>8</v>
      </c>
      <c r="D102" s="263">
        <f>D9</f>
        <v>0.0037947499009611976</v>
      </c>
      <c r="E102" s="263">
        <f>E9</f>
        <v>0.003982402368591147</v>
      </c>
      <c r="F102" s="264">
        <f>IF(C125=B158,C118,IF(C125=B159,C119,IF(C125=B160,C121,C122)))</f>
        <v>0.3</v>
      </c>
      <c r="G102" s="265" t="str">
        <f>IF(E102&lt;=D102*(1-F102),"достигнуто с улучшением",IF(E102&lt;=D102*(1+F102),"достигнуто","не достигнуто"))</f>
        <v>достигнуто</v>
      </c>
      <c r="H102" s="266" t="s">
        <v>266</v>
      </c>
      <c r="I102" s="267">
        <f>IF(H102="-",-1,IF(G102="достигнуто",0,IF(G102="не достигнуто",-1,1)))</f>
        <v>0</v>
      </c>
    </row>
    <row r="103" spans="2:9" ht="25.5">
      <c r="B103" s="262" t="s">
        <v>182</v>
      </c>
      <c r="C103" s="214" t="s">
        <v>8</v>
      </c>
      <c r="D103" s="263">
        <f>D18</f>
        <v>0</v>
      </c>
      <c r="E103" s="263">
        <f>E18</f>
        <v>0</v>
      </c>
      <c r="F103" s="266">
        <f>D114</f>
        <v>0.15</v>
      </c>
      <c r="G103" s="265" t="str">
        <f>IF(E103&lt;=D103*(1-F103),"достигнуто с улучшением",IF(E103&lt;=D103*(1+F103),"достигнуто","не достигнуто"))</f>
        <v>достигнуто с улучшением</v>
      </c>
      <c r="H103" s="266" t="s">
        <v>266</v>
      </c>
      <c r="I103" s="267">
        <f>IF(H103="-",-1,IF(G103="достигнуто",0,IF(G103="не достигнуто",-1,1)))</f>
        <v>1</v>
      </c>
    </row>
    <row r="104" spans="2:9" ht="12.75">
      <c r="B104" s="262" t="s">
        <v>243</v>
      </c>
      <c r="C104" s="214" t="s">
        <v>8</v>
      </c>
      <c r="D104" s="263">
        <f>H80</f>
        <v>0.8975</v>
      </c>
      <c r="E104" s="263">
        <f>I80</f>
        <v>0.9120833333333334</v>
      </c>
      <c r="F104" s="249">
        <f>$F$102</f>
        <v>0.3</v>
      </c>
      <c r="G104" s="265" t="str">
        <f>IF(E104&lt;=D104*(1-F104),"достигнуто с улучшением",IF(E104&lt;=D104*(1+F104),"достигнуто","не достигнуто"))</f>
        <v>достигнуто</v>
      </c>
      <c r="H104" s="266" t="s">
        <v>266</v>
      </c>
      <c r="I104" s="267">
        <f>IF(H104="-",-1,IF(G104="достигнуто",0,IF(G104="не достигнуто",-1,1)))</f>
        <v>0</v>
      </c>
    </row>
    <row r="105" spans="2:9" ht="12.75">
      <c r="B105" s="262" t="s">
        <v>267</v>
      </c>
      <c r="C105" s="214" t="s">
        <v>8</v>
      </c>
      <c r="D105" s="263">
        <f>C96</f>
        <v>1.097442143727162</v>
      </c>
      <c r="E105" s="263">
        <f>D96</f>
        <v>1.4227321888580813</v>
      </c>
      <c r="F105" s="249">
        <f>$F$102</f>
        <v>0.3</v>
      </c>
      <c r="G105" s="265" t="str">
        <f>IF(E105&lt;=D105*(1-F105),"достигнуто с улучшением",IF(E105&lt;=D105*(1+F105),"достигнуто","не достигнуто"))</f>
        <v>достигнуто</v>
      </c>
      <c r="H105" s="266" t="s">
        <v>266</v>
      </c>
      <c r="I105" s="267">
        <f>IF(H105="-",-1,IF(G105="достигнуто",0,IF(G105="не достигнуто",-1,1)))</f>
        <v>0</v>
      </c>
    </row>
    <row r="106" spans="2:9" ht="12.75">
      <c r="B106" s="268"/>
      <c r="C106" s="269"/>
      <c r="D106" s="270"/>
      <c r="E106" s="270"/>
      <c r="F106" s="271"/>
      <c r="G106" s="272"/>
      <c r="H106" s="271"/>
      <c r="I106" s="273"/>
    </row>
    <row r="107" ht="12.75">
      <c r="B107" s="274" t="s">
        <v>268</v>
      </c>
    </row>
    <row r="108" spans="2:3" ht="12.75">
      <c r="B108" s="275" t="s">
        <v>269</v>
      </c>
      <c r="C108" s="276">
        <f>I102*C130+I103*D130</f>
        <v>0.25</v>
      </c>
    </row>
    <row r="109" spans="2:3" ht="12.75">
      <c r="B109" s="262" t="s">
        <v>270</v>
      </c>
      <c r="C109" s="235">
        <f>I102*C131+I104*E131+I105*D131</f>
        <v>0</v>
      </c>
    </row>
    <row r="111" ht="12.75">
      <c r="B111" s="274" t="s">
        <v>271</v>
      </c>
    </row>
    <row r="112" spans="2:4" ht="25.5">
      <c r="B112" s="211" t="s">
        <v>272</v>
      </c>
      <c r="C112" s="211" t="s">
        <v>273</v>
      </c>
      <c r="D112" s="211" t="s">
        <v>274</v>
      </c>
    </row>
    <row r="113" spans="2:4" ht="12.75">
      <c r="B113" s="219" t="s">
        <v>269</v>
      </c>
      <c r="C113" s="277"/>
      <c r="D113" s="277"/>
    </row>
    <row r="114" spans="2:4" ht="12.75">
      <c r="B114" s="278" t="s">
        <v>275</v>
      </c>
      <c r="C114" s="279">
        <v>0.25</v>
      </c>
      <c r="D114" s="280">
        <v>0.15</v>
      </c>
    </row>
    <row r="115" spans="2:4" ht="12.75">
      <c r="B115" s="278" t="s">
        <v>276</v>
      </c>
      <c r="C115" s="279">
        <v>0.2</v>
      </c>
      <c r="D115" s="281"/>
    </row>
    <row r="116" spans="2:4" ht="39.75" customHeight="1">
      <c r="B116" s="278" t="s">
        <v>277</v>
      </c>
      <c r="C116" s="282" t="s">
        <v>278</v>
      </c>
      <c r="D116" s="283"/>
    </row>
    <row r="117" spans="2:4" ht="12.75">
      <c r="B117" s="284" t="s">
        <v>279</v>
      </c>
      <c r="C117" s="285"/>
      <c r="D117" s="286"/>
    </row>
    <row r="118" spans="2:4" ht="12.75">
      <c r="B118" s="278" t="s">
        <v>280</v>
      </c>
      <c r="C118" s="287">
        <v>0.3</v>
      </c>
      <c r="D118" s="288"/>
    </row>
    <row r="119" spans="2:4" ht="12.75">
      <c r="B119" s="278" t="s">
        <v>277</v>
      </c>
      <c r="C119" s="287">
        <v>0.25</v>
      </c>
      <c r="D119" s="288"/>
    </row>
    <row r="120" spans="2:4" ht="12.75">
      <c r="B120" s="284" t="s">
        <v>281</v>
      </c>
      <c r="C120" s="285"/>
      <c r="D120" s="286"/>
    </row>
    <row r="121" spans="2:4" ht="12.75">
      <c r="B121" s="278" t="s">
        <v>280</v>
      </c>
      <c r="C121" s="287">
        <v>0.35</v>
      </c>
      <c r="D121" s="288"/>
    </row>
    <row r="122" spans="2:4" ht="12.75">
      <c r="B122" s="278" t="s">
        <v>282</v>
      </c>
      <c r="C122" s="287">
        <v>0.3</v>
      </c>
      <c r="D122" s="288"/>
    </row>
    <row r="123" spans="2:4" ht="12.75">
      <c r="B123" s="278" t="s">
        <v>277</v>
      </c>
      <c r="C123" s="289" t="s">
        <v>283</v>
      </c>
      <c r="D123" s="290"/>
    </row>
    <row r="124" s="291" customFormat="1" ht="12.75"/>
    <row r="125" spans="2:4" ht="26.25" customHeight="1">
      <c r="B125" s="278" t="s">
        <v>284</v>
      </c>
      <c r="C125" s="292" t="s">
        <v>285</v>
      </c>
      <c r="D125" s="293"/>
    </row>
    <row r="126" ht="12.75">
      <c r="B126" s="294"/>
    </row>
    <row r="128" ht="12.75">
      <c r="B128" s="274" t="s">
        <v>286</v>
      </c>
    </row>
    <row r="129" spans="2:5" ht="25.5">
      <c r="B129" s="211" t="s">
        <v>287</v>
      </c>
      <c r="C129" s="211" t="s">
        <v>288</v>
      </c>
      <c r="D129" s="208" t="s">
        <v>289</v>
      </c>
      <c r="E129" s="208"/>
    </row>
    <row r="130" spans="2:5" ht="12.75">
      <c r="B130" s="262" t="s">
        <v>269</v>
      </c>
      <c r="C130" s="295">
        <v>0.75</v>
      </c>
      <c r="D130" s="295">
        <f>1-C130</f>
        <v>0.25</v>
      </c>
      <c r="E130" s="296">
        <v>0</v>
      </c>
    </row>
    <row r="131" spans="2:5" ht="12.75">
      <c r="B131" s="262" t="s">
        <v>270</v>
      </c>
      <c r="C131" s="295">
        <v>0.65</v>
      </c>
      <c r="D131" s="295">
        <v>0.25</v>
      </c>
      <c r="E131" s="297">
        <v>0.1</v>
      </c>
    </row>
    <row r="133" ht="19.5">
      <c r="B133" s="207" t="s">
        <v>290</v>
      </c>
    </row>
    <row r="136" ht="12.75">
      <c r="B136" s="218" t="s">
        <v>291</v>
      </c>
    </row>
    <row r="137" spans="2:3" ht="12.75">
      <c r="B137" s="217" t="s">
        <v>292</v>
      </c>
      <c r="C137" s="298">
        <f>C108*$C$139</f>
        <v>0.005</v>
      </c>
    </row>
    <row r="138" spans="2:3" ht="12.75">
      <c r="B138" s="217" t="s">
        <v>293</v>
      </c>
      <c r="C138" s="298">
        <f>C109*$C$139</f>
        <v>0</v>
      </c>
    </row>
    <row r="139" spans="2:3" ht="25.5">
      <c r="B139" s="253" t="s">
        <v>294</v>
      </c>
      <c r="C139" s="299">
        <f>C145</f>
        <v>0.02</v>
      </c>
    </row>
    <row r="140" spans="2:4" ht="12.75">
      <c r="B140" s="252"/>
      <c r="C140" s="252"/>
      <c r="D140" s="252"/>
    </row>
    <row r="142" ht="12.75">
      <c r="B142" s="274" t="s">
        <v>295</v>
      </c>
    </row>
    <row r="143" spans="2:3" ht="12.75">
      <c r="B143" s="300" t="s">
        <v>296</v>
      </c>
      <c r="C143" s="299">
        <v>0.005</v>
      </c>
    </row>
    <row r="144" spans="2:3" ht="12.75">
      <c r="B144" s="300" t="s">
        <v>297</v>
      </c>
      <c r="C144" s="299">
        <v>0.01</v>
      </c>
    </row>
    <row r="145" spans="2:3" ht="12.75">
      <c r="B145" s="300" t="s">
        <v>298</v>
      </c>
      <c r="C145" s="299">
        <v>0.02</v>
      </c>
    </row>
    <row r="146" spans="2:3" ht="12.75">
      <c r="B146" s="301"/>
      <c r="C146" s="302"/>
    </row>
    <row r="147" spans="2:3" ht="12.75">
      <c r="B147" s="218" t="s">
        <v>299</v>
      </c>
      <c r="C147" s="302"/>
    </row>
    <row r="148" spans="2:3" ht="12.75">
      <c r="B148" s="278" t="s">
        <v>300</v>
      </c>
      <c r="C148" s="299">
        <v>-0.03</v>
      </c>
    </row>
    <row r="149" spans="2:3" ht="38.25">
      <c r="B149" s="278" t="s">
        <v>301</v>
      </c>
      <c r="C149" s="217"/>
    </row>
    <row r="150" spans="2:3" ht="12.75">
      <c r="B150" s="300" t="s">
        <v>296</v>
      </c>
      <c r="C150" s="299">
        <v>0.2</v>
      </c>
    </row>
    <row r="151" spans="2:3" ht="12.75">
      <c r="B151" s="300" t="s">
        <v>297</v>
      </c>
      <c r="C151" s="299">
        <v>0.15</v>
      </c>
    </row>
    <row r="152" spans="2:3" ht="12.75">
      <c r="B152" s="300" t="s">
        <v>298</v>
      </c>
      <c r="C152" s="299">
        <v>0.1</v>
      </c>
    </row>
    <row r="153" spans="2:7" ht="12.75">
      <c r="B153" s="303" t="s">
        <v>302</v>
      </c>
      <c r="C153" s="303"/>
      <c r="D153" s="303"/>
      <c r="E153" s="303"/>
      <c r="F153" s="303"/>
      <c r="G153" s="303"/>
    </row>
    <row r="158" s="205" customFormat="1" ht="12.75" hidden="1">
      <c r="B158" s="304" t="s">
        <v>285</v>
      </c>
    </row>
    <row r="159" s="205" customFormat="1" ht="12.75" hidden="1">
      <c r="B159" s="304" t="s">
        <v>303</v>
      </c>
    </row>
    <row r="160" s="205" customFormat="1" ht="12.75" hidden="1">
      <c r="B160" s="304" t="s">
        <v>304</v>
      </c>
    </row>
    <row r="161" s="205" customFormat="1" ht="12.75" hidden="1">
      <c r="B161" s="304" t="s">
        <v>305</v>
      </c>
    </row>
    <row r="165" ht="12.75">
      <c r="E165" s="305"/>
    </row>
  </sheetData>
  <sheetProtection/>
  <mergeCells count="35">
    <mergeCell ref="C122:D122"/>
    <mergeCell ref="C123:D123"/>
    <mergeCell ref="C125:D125"/>
    <mergeCell ref="D129:E129"/>
    <mergeCell ref="B153:G153"/>
    <mergeCell ref="D114:D116"/>
    <mergeCell ref="B117:D117"/>
    <mergeCell ref="C118:D118"/>
    <mergeCell ref="C119:D119"/>
    <mergeCell ref="B120:D120"/>
    <mergeCell ref="C121:D121"/>
    <mergeCell ref="I21:I22"/>
    <mergeCell ref="J21:O21"/>
    <mergeCell ref="J23:O23"/>
    <mergeCell ref="B100:B101"/>
    <mergeCell ref="C100:C101"/>
    <mergeCell ref="D100:E100"/>
    <mergeCell ref="F100:F101"/>
    <mergeCell ref="G100:G101"/>
    <mergeCell ref="H100:H101"/>
    <mergeCell ref="I100:I101"/>
    <mergeCell ref="B21:B22"/>
    <mergeCell ref="C21:C22"/>
    <mergeCell ref="D21:E21"/>
    <mergeCell ref="F21:F22"/>
    <mergeCell ref="G21:G22"/>
    <mergeCell ref="H21:H22"/>
    <mergeCell ref="B1:E1"/>
    <mergeCell ref="B2:E2"/>
    <mergeCell ref="B4:B5"/>
    <mergeCell ref="C4:C5"/>
    <mergeCell ref="D4:E4"/>
    <mergeCell ref="B12:B13"/>
    <mergeCell ref="C12:C13"/>
    <mergeCell ref="D12:E12"/>
  </mergeCells>
  <dataValidations count="2">
    <dataValidation type="list" allowBlank="1" showInputMessage="1" showErrorMessage="1" sqref="H102:H106">
      <formula1>"+,-"</formula1>
    </dataValidation>
    <dataValidation type="list" allowBlank="1" showInputMessage="1" showErrorMessage="1" sqref="C125:D125">
      <formula1>$B$158:$B$161</formula1>
    </dataValidation>
  </dataValidations>
  <printOptions/>
  <pageMargins left="0.7" right="0.7" top="0.75" bottom="0.75" header="0.3" footer="0.3"/>
  <pageSetup horizontalDpi="600" verticalDpi="600" orientation="portrait" paperSize="9" scale="38" r:id="rId1"/>
  <colBreaks count="1" manualBreakCount="1">
    <brk id="1" max="1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2"/>
  <sheetViews>
    <sheetView view="pageBreakPreview" zoomScaleSheetLayoutView="100" zoomScalePageLayoutView="0" workbookViewId="0" topLeftCell="A1">
      <selection activeCell="A14" sqref="A14:IV15"/>
    </sheetView>
  </sheetViews>
  <sheetFormatPr defaultColWidth="0.85546875" defaultRowHeight="12.75"/>
  <cols>
    <col min="1" max="16384" width="0.85546875" style="94" customWidth="1"/>
  </cols>
  <sheetData>
    <row r="1" s="88" customFormat="1" ht="15.75">
      <c r="CV1" s="89" t="s">
        <v>145</v>
      </c>
    </row>
    <row r="2" s="88" customFormat="1" ht="15.75"/>
    <row r="3" spans="1:100" s="88" customFormat="1" ht="32.25" customHeight="1">
      <c r="A3" s="144" t="s">
        <v>158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</row>
    <row r="4" s="88" customFormat="1" ht="9" customHeight="1"/>
    <row r="5" spans="1:100" s="88" customFormat="1" ht="15.75">
      <c r="A5" s="145" t="s">
        <v>154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</row>
    <row r="6" spans="1:100" s="88" customFormat="1" ht="15.75">
      <c r="A6" s="123" t="s">
        <v>66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</row>
    <row r="7" ht="21" customHeight="1"/>
    <row r="8" spans="1:100" s="90" customFormat="1" ht="15">
      <c r="A8" s="99"/>
      <c r="B8" s="146" t="s">
        <v>140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7" t="s">
        <v>156</v>
      </c>
      <c r="AO8" s="147"/>
      <c r="AP8" s="147"/>
      <c r="AQ8" s="147"/>
      <c r="AR8" s="147"/>
      <c r="AS8" s="147"/>
      <c r="AT8" s="147"/>
      <c r="AU8" s="108" t="s">
        <v>141</v>
      </c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10"/>
      <c r="BG8" s="140">
        <f>'Форма 1.1.'!BG22:CV22</f>
        <v>95922</v>
      </c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1"/>
    </row>
    <row r="9" spans="1:100" ht="15">
      <c r="A9" s="111"/>
      <c r="B9" s="94" t="s">
        <v>142</v>
      </c>
      <c r="BE9" s="112"/>
      <c r="BF9" s="113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3"/>
    </row>
    <row r="10" spans="1:100" s="90" customFormat="1" ht="16.5" customHeight="1">
      <c r="A10" s="97"/>
      <c r="B10" s="132" t="s">
        <v>143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3"/>
      <c r="BF10" s="99"/>
      <c r="BG10" s="140">
        <f>SUM('Форма 1.1.'!AC11:BF22)</f>
        <v>382</v>
      </c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1"/>
    </row>
    <row r="11" spans="1:100" s="90" customFormat="1" ht="15.75" customHeight="1">
      <c r="A11" s="101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5"/>
      <c r="BF11" s="103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3"/>
    </row>
    <row r="12" spans="1:100" s="90" customFormat="1" ht="31.5" customHeight="1">
      <c r="A12" s="101"/>
      <c r="B12" s="136" t="s">
        <v>144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114"/>
      <c r="BG12" s="138">
        <f>BG10/BG8</f>
        <v>0.003982402368591147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9"/>
    </row>
    <row r="14" ht="3" customHeight="1"/>
  </sheetData>
  <sheetProtection/>
  <mergeCells count="10">
    <mergeCell ref="B10:BE11"/>
    <mergeCell ref="B12:BE12"/>
    <mergeCell ref="BG12:CV12"/>
    <mergeCell ref="BG10:CV11"/>
    <mergeCell ref="BG8:CV9"/>
    <mergeCell ref="A3:CV3"/>
    <mergeCell ref="A5:CV5"/>
    <mergeCell ref="A6:CV6"/>
    <mergeCell ref="B8:AM8"/>
    <mergeCell ref="AN8:AT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115" zoomScaleSheetLayoutView="115" zoomScalePageLayoutView="0" workbookViewId="0" topLeftCell="A31">
      <selection activeCell="A43" sqref="A43:IV43"/>
    </sheetView>
  </sheetViews>
  <sheetFormatPr defaultColWidth="9.140625" defaultRowHeight="12.75"/>
  <cols>
    <col min="1" max="1" width="62.421875" style="0" customWidth="1"/>
    <col min="2" max="3" width="10.140625" style="0" bestFit="1" customWidth="1"/>
    <col min="4" max="4" width="9.28125" style="0" bestFit="1" customWidth="1"/>
    <col min="5" max="5" width="12.00390625" style="0" customWidth="1"/>
    <col min="6" max="6" width="11.57421875" style="0" customWidth="1"/>
  </cols>
  <sheetData>
    <row r="1" spans="5:6" ht="15.75">
      <c r="E1" s="148" t="s">
        <v>146</v>
      </c>
      <c r="F1" s="148"/>
    </row>
    <row r="2" spans="1:6" ht="12.75">
      <c r="A2" s="33"/>
      <c r="B2" s="33"/>
      <c r="C2" s="33"/>
      <c r="D2" s="32"/>
      <c r="E2" s="32"/>
      <c r="F2" s="32"/>
    </row>
    <row r="3" spans="1:6" ht="14.25">
      <c r="A3" s="149" t="s">
        <v>157</v>
      </c>
      <c r="B3" s="149"/>
      <c r="C3" s="149"/>
      <c r="D3" s="149"/>
      <c r="E3" s="149"/>
      <c r="F3" s="149"/>
    </row>
    <row r="4" spans="1:6" ht="14.25">
      <c r="A4" s="71"/>
      <c r="B4" s="71"/>
      <c r="C4" s="71"/>
      <c r="D4" s="71"/>
      <c r="E4" s="71"/>
      <c r="F4" s="71"/>
    </row>
    <row r="5" spans="1:6" ht="15.75">
      <c r="A5" s="150" t="s">
        <v>76</v>
      </c>
      <c r="B5" s="150"/>
      <c r="C5" s="150"/>
      <c r="D5" s="150"/>
      <c r="E5" s="150"/>
      <c r="F5" s="150"/>
    </row>
    <row r="6" spans="1:6" ht="12.75">
      <c r="A6" s="151" t="s">
        <v>66</v>
      </c>
      <c r="B6" s="151"/>
      <c r="C6" s="151"/>
      <c r="D6" s="151"/>
      <c r="E6" s="151"/>
      <c r="F6" s="151"/>
    </row>
    <row r="7" spans="1:6" ht="13.5" thickBot="1">
      <c r="A7" s="78"/>
      <c r="B7" s="75"/>
      <c r="C7" s="75"/>
      <c r="D7" s="75"/>
      <c r="E7" s="75"/>
      <c r="F7" s="75"/>
    </row>
    <row r="8" spans="1:6" ht="12.75">
      <c r="A8" s="152" t="s">
        <v>0</v>
      </c>
      <c r="B8" s="154" t="s">
        <v>159</v>
      </c>
      <c r="C8" s="154"/>
      <c r="D8" s="154"/>
      <c r="E8" s="154"/>
      <c r="F8" s="155"/>
    </row>
    <row r="9" spans="1:6" ht="12.75">
      <c r="A9" s="153"/>
      <c r="B9" s="156" t="s">
        <v>1</v>
      </c>
      <c r="C9" s="156"/>
      <c r="D9" s="157" t="s">
        <v>2</v>
      </c>
      <c r="E9" s="157" t="s">
        <v>3</v>
      </c>
      <c r="F9" s="159" t="s">
        <v>4</v>
      </c>
    </row>
    <row r="10" spans="1:6" ht="12.75">
      <c r="A10" s="153"/>
      <c r="B10" s="66" t="s">
        <v>5</v>
      </c>
      <c r="C10" s="66" t="s">
        <v>6</v>
      </c>
      <c r="D10" s="158"/>
      <c r="E10" s="157"/>
      <c r="F10" s="159"/>
    </row>
    <row r="11" spans="1:6" ht="15.75">
      <c r="A11" s="67">
        <v>1</v>
      </c>
      <c r="B11" s="68">
        <v>2</v>
      </c>
      <c r="C11" s="68">
        <v>3</v>
      </c>
      <c r="D11" s="69">
        <v>4</v>
      </c>
      <c r="E11" s="69">
        <v>5</v>
      </c>
      <c r="F11" s="70">
        <v>6</v>
      </c>
    </row>
    <row r="12" spans="1:6" ht="38.25">
      <c r="A12" s="3" t="s">
        <v>7</v>
      </c>
      <c r="B12" s="27"/>
      <c r="C12" s="28" t="s">
        <v>8</v>
      </c>
      <c r="D12" s="22" t="s">
        <v>8</v>
      </c>
      <c r="E12" s="22" t="s">
        <v>8</v>
      </c>
      <c r="F12" s="26">
        <f>(F14+F15)/2</f>
        <v>2</v>
      </c>
    </row>
    <row r="13" spans="1:6" ht="15.75">
      <c r="A13" s="3" t="s">
        <v>9</v>
      </c>
      <c r="B13" s="8"/>
      <c r="C13" s="9"/>
      <c r="D13" s="10"/>
      <c r="E13" s="10"/>
      <c r="F13" s="16"/>
    </row>
    <row r="14" spans="1:6" ht="38.25">
      <c r="A14" s="4" t="s">
        <v>10</v>
      </c>
      <c r="B14" s="18">
        <v>1</v>
      </c>
      <c r="C14" s="18">
        <v>1</v>
      </c>
      <c r="D14" s="25">
        <f>IF(C14=0,IF(B14=0,100,120),B14/C14*100)</f>
        <v>100</v>
      </c>
      <c r="E14" s="25" t="s">
        <v>11</v>
      </c>
      <c r="F14" s="26">
        <f>IF(OR(AND(D14&lt;80,E14="прямая"),AND(D14&gt;120,E14="обратная")),3,IF(AND(D14&gt;=80,D14&lt;=120),2,1))</f>
        <v>2</v>
      </c>
    </row>
    <row r="15" spans="1:6" ht="38.25">
      <c r="A15" s="4" t="s">
        <v>12</v>
      </c>
      <c r="B15" s="21">
        <f>SUM(B17:B20)</f>
        <v>32</v>
      </c>
      <c r="C15" s="22">
        <f>SUM(C17:C20)</f>
        <v>32</v>
      </c>
      <c r="D15" s="25">
        <f>IF(C15=0,IF(B15=0,100,120),B15/C15*100)</f>
        <v>100</v>
      </c>
      <c r="E15" s="25" t="s">
        <v>11</v>
      </c>
      <c r="F15" s="26">
        <f>IF(OR(AND(D15&lt;80,E15="прямая"),AND(D15&gt;120,E15="обратная")),3,IF(AND(D15&gt;=80,D15&lt;=120),2,1))</f>
        <v>2</v>
      </c>
    </row>
    <row r="16" spans="1:6" ht="15.75">
      <c r="A16" s="4" t="s">
        <v>13</v>
      </c>
      <c r="B16" s="14"/>
      <c r="C16" s="15"/>
      <c r="D16" s="11"/>
      <c r="E16" s="11"/>
      <c r="F16" s="17"/>
    </row>
    <row r="17" spans="1:6" ht="25.5">
      <c r="A17" s="3" t="s">
        <v>14</v>
      </c>
      <c r="B17" s="19">
        <v>1</v>
      </c>
      <c r="C17" s="20">
        <v>1</v>
      </c>
      <c r="D17" s="11"/>
      <c r="E17" s="11"/>
      <c r="F17" s="16"/>
    </row>
    <row r="18" spans="1:6" ht="38.25">
      <c r="A18" s="3" t="s">
        <v>15</v>
      </c>
      <c r="B18" s="19">
        <v>1</v>
      </c>
      <c r="C18" s="20">
        <v>1</v>
      </c>
      <c r="D18" s="11"/>
      <c r="E18" s="11"/>
      <c r="F18" s="16"/>
    </row>
    <row r="19" spans="1:6" ht="25.5">
      <c r="A19" s="3" t="s">
        <v>16</v>
      </c>
      <c r="B19" s="19">
        <v>20</v>
      </c>
      <c r="C19" s="20">
        <v>20</v>
      </c>
      <c r="D19" s="11"/>
      <c r="E19" s="11"/>
      <c r="F19" s="16"/>
    </row>
    <row r="20" spans="1:6" ht="38.25">
      <c r="A20" s="3" t="s">
        <v>17</v>
      </c>
      <c r="B20" s="19">
        <v>10</v>
      </c>
      <c r="C20" s="20">
        <v>10</v>
      </c>
      <c r="D20" s="11"/>
      <c r="E20" s="11"/>
      <c r="F20" s="16"/>
    </row>
    <row r="21" spans="1:6" ht="15.75">
      <c r="A21" s="4"/>
      <c r="B21" s="14"/>
      <c r="C21" s="15"/>
      <c r="D21" s="11"/>
      <c r="E21" s="11"/>
      <c r="F21" s="17"/>
    </row>
    <row r="22" spans="1:6" ht="25.5">
      <c r="A22" s="3" t="s">
        <v>18</v>
      </c>
      <c r="B22" s="64"/>
      <c r="C22" s="22"/>
      <c r="D22" s="22"/>
      <c r="E22" s="22"/>
      <c r="F22" s="26">
        <f>(F24+F25+F26)/3</f>
        <v>2</v>
      </c>
    </row>
    <row r="23" spans="1:6" ht="15.75">
      <c r="A23" s="3" t="s">
        <v>19</v>
      </c>
      <c r="B23" s="14"/>
      <c r="C23" s="15"/>
      <c r="D23" s="11"/>
      <c r="E23" s="11"/>
      <c r="F23" s="17"/>
    </row>
    <row r="24" spans="1:6" ht="38.25">
      <c r="A24" s="3" t="s">
        <v>20</v>
      </c>
      <c r="B24" s="19">
        <v>1</v>
      </c>
      <c r="C24" s="20">
        <v>1</v>
      </c>
      <c r="D24" s="25">
        <f aca="true" t="shared" si="0" ref="D24:D30">IF(C24=0,IF(B24=0,100,120),B24/C24*100)</f>
        <v>100</v>
      </c>
      <c r="E24" s="25" t="s">
        <v>11</v>
      </c>
      <c r="F24" s="26">
        <f>IF(OR(AND(D24&lt;80,E24="прямая"),AND(D24&gt;120,E24="обратная")),3,IF(AND(D24&gt;=80,D24&lt;=120),2,1))</f>
        <v>2</v>
      </c>
    </row>
    <row r="25" spans="1:6" ht="38.25">
      <c r="A25" s="4" t="s">
        <v>21</v>
      </c>
      <c r="B25" s="19">
        <v>1</v>
      </c>
      <c r="C25" s="20">
        <v>1</v>
      </c>
      <c r="D25" s="25">
        <f t="shared" si="0"/>
        <v>100</v>
      </c>
      <c r="E25" s="25" t="s">
        <v>11</v>
      </c>
      <c r="F25" s="26">
        <f>IF(OR(AND(D25&lt;80,E25="прямая"),AND(D25&gt;120,E25="обратная")),3,IF(AND(D25&gt;=80,D25&lt;=120),2,1))</f>
        <v>2</v>
      </c>
    </row>
    <row r="26" spans="1:6" ht="38.25">
      <c r="A26" s="4" t="s">
        <v>22</v>
      </c>
      <c r="B26" s="19">
        <v>0</v>
      </c>
      <c r="C26" s="20">
        <v>0</v>
      </c>
      <c r="D26" s="25">
        <f t="shared" si="0"/>
        <v>100</v>
      </c>
      <c r="E26" s="25" t="s">
        <v>11</v>
      </c>
      <c r="F26" s="26">
        <f>IF(OR(AND(D26&lt;80,E26="прямая"),AND(D26&gt;120,E26="обратная")),3,IF(AND(D26&gt;=80,D26&lt;=120),2,1))</f>
        <v>2</v>
      </c>
    </row>
    <row r="27" spans="1:6" ht="15.75">
      <c r="A27" s="3"/>
      <c r="B27" s="12"/>
      <c r="C27" s="13"/>
      <c r="D27" s="11"/>
      <c r="E27" s="11"/>
      <c r="F27" s="16"/>
    </row>
    <row r="28" spans="1:6" ht="38.25">
      <c r="A28" s="3" t="s">
        <v>23</v>
      </c>
      <c r="B28" s="19">
        <v>1</v>
      </c>
      <c r="C28" s="20">
        <v>1</v>
      </c>
      <c r="D28" s="25">
        <f t="shared" si="0"/>
        <v>100</v>
      </c>
      <c r="E28" s="25" t="s">
        <v>11</v>
      </c>
      <c r="F28" s="26">
        <f>IF(OR(AND(D28&lt;80,E28="прямая"),AND(D28&gt;120,E28="обратная")),3,IF(AND(D28&gt;=80,D28&lt;=120),2,1))</f>
        <v>2</v>
      </c>
    </row>
    <row r="29" spans="1:6" ht="15.75">
      <c r="A29" s="3"/>
      <c r="B29" s="12"/>
      <c r="C29" s="13"/>
      <c r="D29" s="11"/>
      <c r="E29" s="11"/>
      <c r="F29" s="16"/>
    </row>
    <row r="30" spans="1:6" ht="51">
      <c r="A30" s="3" t="s">
        <v>24</v>
      </c>
      <c r="B30" s="19">
        <v>1</v>
      </c>
      <c r="C30" s="20">
        <v>1</v>
      </c>
      <c r="D30" s="25">
        <f t="shared" si="0"/>
        <v>100</v>
      </c>
      <c r="E30" s="25" t="s">
        <v>11</v>
      </c>
      <c r="F30" s="26">
        <f>IF(OR(AND(D30&lt;80,E30="прямая"),AND(D30&gt;120,E30="обратная")),3,IF(AND(D30&gt;=80,D30&lt;=120),2,1))</f>
        <v>2</v>
      </c>
    </row>
    <row r="31" spans="1:6" ht="15.75">
      <c r="A31" s="3"/>
      <c r="B31" s="14"/>
      <c r="C31" s="15"/>
      <c r="D31" s="11"/>
      <c r="E31" s="11"/>
      <c r="F31" s="16"/>
    </row>
    <row r="32" spans="1:6" ht="38.25">
      <c r="A32" s="3" t="s">
        <v>25</v>
      </c>
      <c r="B32" s="21" t="s">
        <v>8</v>
      </c>
      <c r="C32" s="22" t="s">
        <v>8</v>
      </c>
      <c r="D32" s="25" t="s">
        <v>8</v>
      </c>
      <c r="E32" s="25" t="s">
        <v>8</v>
      </c>
      <c r="F32" s="26">
        <f>F34/1</f>
        <v>2</v>
      </c>
    </row>
    <row r="33" spans="1:6" ht="15.75">
      <c r="A33" s="3" t="s">
        <v>26</v>
      </c>
      <c r="B33" s="14"/>
      <c r="C33" s="15"/>
      <c r="D33" s="11"/>
      <c r="E33" s="11"/>
      <c r="F33" s="17"/>
    </row>
    <row r="34" spans="1:6" ht="51">
      <c r="A34" s="4" t="s">
        <v>27</v>
      </c>
      <c r="B34" s="23">
        <v>0</v>
      </c>
      <c r="C34" s="18">
        <v>0</v>
      </c>
      <c r="D34" s="25">
        <f>IF(C34=0,IF(B34=0,100,120),B34/C34*100)</f>
        <v>100</v>
      </c>
      <c r="E34" s="25" t="s">
        <v>28</v>
      </c>
      <c r="F34" s="26">
        <f>IF(OR(AND(D34&lt;80,E34="прямая"),AND(D34&gt;120,E34="обратная")),3,IF(AND(D34&gt;=80,D34&lt;=120),2,1))</f>
        <v>2</v>
      </c>
    </row>
    <row r="35" spans="1:6" ht="38.25">
      <c r="A35" s="3" t="s">
        <v>29</v>
      </c>
      <c r="B35" s="21"/>
      <c r="C35" s="22"/>
      <c r="D35" s="22"/>
      <c r="E35" s="22"/>
      <c r="F35" s="26">
        <f>(F37+F38)/2</f>
        <v>2</v>
      </c>
    </row>
    <row r="36" spans="1:6" ht="15.75">
      <c r="A36" s="3" t="s">
        <v>9</v>
      </c>
      <c r="B36" s="12"/>
      <c r="C36" s="13"/>
      <c r="D36" s="11"/>
      <c r="E36" s="11"/>
      <c r="F36" s="16"/>
    </row>
    <row r="37" spans="1:6" ht="38.25">
      <c r="A37" s="4" t="s">
        <v>30</v>
      </c>
      <c r="B37" s="18">
        <v>0</v>
      </c>
      <c r="C37" s="24">
        <v>0</v>
      </c>
      <c r="D37" s="25">
        <f>IF(C37=0,IF(B37=0,100,120),B37/C37*100)</f>
        <v>100</v>
      </c>
      <c r="E37" s="25" t="s">
        <v>28</v>
      </c>
      <c r="F37" s="26">
        <f>IF(OR(AND(D37&lt;80,E37="прямая"),AND(D37&gt;120,E37="обратная")),3,IF(AND(D37&gt;=80,D37&lt;=120),2,1))</f>
        <v>2</v>
      </c>
    </row>
    <row r="38" spans="1:6" ht="63.75">
      <c r="A38" s="4" t="s">
        <v>71</v>
      </c>
      <c r="B38" s="19">
        <v>0</v>
      </c>
      <c r="C38" s="20">
        <v>0</v>
      </c>
      <c r="D38" s="25">
        <f>IF(C38=0,IF(B38=0,100,120),B38/C38*100)</f>
        <v>100</v>
      </c>
      <c r="E38" s="25" t="s">
        <v>28</v>
      </c>
      <c r="F38" s="26">
        <f>IF(OR(AND(D38&lt;80,E38="прямая"),AND(D38&gt;120,E38="обратная")),3,IF(AND(D38&gt;=80,D38&lt;=120),2,1))</f>
        <v>2</v>
      </c>
    </row>
    <row r="39" spans="1:6" ht="16.5" thickBot="1">
      <c r="A39" s="5" t="s">
        <v>31</v>
      </c>
      <c r="B39" s="29"/>
      <c r="C39" s="29"/>
      <c r="D39" s="29"/>
      <c r="E39" s="29"/>
      <c r="F39" s="38">
        <f>(F12+F22+F28+F30+F34+F35)/6</f>
        <v>2</v>
      </c>
    </row>
  </sheetData>
  <sheetProtection/>
  <protectedRanges>
    <protectedRange sqref="B14:C38" name="Диапазон1_1"/>
  </protectedRanges>
  <mergeCells count="10">
    <mergeCell ref="E1:F1"/>
    <mergeCell ref="A3:F3"/>
    <mergeCell ref="A5:F5"/>
    <mergeCell ref="A6:F6"/>
    <mergeCell ref="A8:A10"/>
    <mergeCell ref="B8:F8"/>
    <mergeCell ref="B9:C9"/>
    <mergeCell ref="D9:D10"/>
    <mergeCell ref="E9:E10"/>
    <mergeCell ref="F9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40" zoomScalePageLayoutView="0" workbookViewId="0" topLeftCell="A34">
      <selection activeCell="A44" sqref="A43:IV44"/>
    </sheetView>
  </sheetViews>
  <sheetFormatPr defaultColWidth="9.140625" defaultRowHeight="12.75"/>
  <cols>
    <col min="1" max="1" width="62.140625" style="0" customWidth="1"/>
    <col min="5" max="5" width="12.28125" style="0" customWidth="1"/>
    <col min="6" max="6" width="11.8515625" style="0" customWidth="1"/>
  </cols>
  <sheetData>
    <row r="1" spans="5:6" ht="15.75">
      <c r="E1" s="148" t="s">
        <v>147</v>
      </c>
      <c r="F1" s="148"/>
    </row>
    <row r="2" spans="1:6" ht="12.75">
      <c r="A2" s="33"/>
      <c r="B2" s="52"/>
      <c r="C2" s="33"/>
      <c r="D2" s="32"/>
      <c r="E2" s="160"/>
      <c r="F2" s="160"/>
    </row>
    <row r="3" spans="1:6" ht="14.25">
      <c r="A3" s="161" t="s">
        <v>160</v>
      </c>
      <c r="B3" s="161"/>
      <c r="C3" s="161"/>
      <c r="D3" s="161"/>
      <c r="E3" s="161"/>
      <c r="F3" s="161"/>
    </row>
    <row r="4" spans="1:6" ht="14.25">
      <c r="A4" s="71"/>
      <c r="B4" s="71"/>
      <c r="C4" s="71"/>
      <c r="D4" s="71"/>
      <c r="E4" s="71"/>
      <c r="F4" s="71"/>
    </row>
    <row r="5" spans="1:6" ht="15.75">
      <c r="A5" s="150" t="s">
        <v>76</v>
      </c>
      <c r="B5" s="150"/>
      <c r="C5" s="150"/>
      <c r="D5" s="150"/>
      <c r="E5" s="150"/>
      <c r="F5" s="150"/>
    </row>
    <row r="6" spans="1:6" ht="12.75">
      <c r="A6" s="151" t="s">
        <v>66</v>
      </c>
      <c r="B6" s="151"/>
      <c r="C6" s="151"/>
      <c r="D6" s="151"/>
      <c r="E6" s="151"/>
      <c r="F6" s="151"/>
    </row>
    <row r="7" spans="1:6" ht="13.5" thickBot="1">
      <c r="A7" s="72"/>
      <c r="B7" s="73"/>
      <c r="C7" s="74"/>
      <c r="D7" s="75"/>
      <c r="E7" s="75"/>
      <c r="F7" s="75"/>
    </row>
    <row r="8" spans="1:6" ht="12.75">
      <c r="A8" s="152" t="s">
        <v>0</v>
      </c>
      <c r="B8" s="162" t="s">
        <v>159</v>
      </c>
      <c r="C8" s="162"/>
      <c r="D8" s="162"/>
      <c r="E8" s="162"/>
      <c r="F8" s="163"/>
    </row>
    <row r="9" spans="1:6" ht="12.75">
      <c r="A9" s="153"/>
      <c r="B9" s="156" t="s">
        <v>1</v>
      </c>
      <c r="C9" s="156"/>
      <c r="D9" s="157" t="s">
        <v>2</v>
      </c>
      <c r="E9" s="157" t="s">
        <v>3</v>
      </c>
      <c r="F9" s="159" t="s">
        <v>4</v>
      </c>
    </row>
    <row r="10" spans="1:6" ht="12.75">
      <c r="A10" s="153"/>
      <c r="B10" s="76" t="s">
        <v>5</v>
      </c>
      <c r="C10" s="66" t="s">
        <v>6</v>
      </c>
      <c r="D10" s="158"/>
      <c r="E10" s="157"/>
      <c r="F10" s="159"/>
    </row>
    <row r="11" spans="1:6" ht="15.75">
      <c r="A11" s="67">
        <v>1</v>
      </c>
      <c r="B11" s="77">
        <v>2</v>
      </c>
      <c r="C11" s="68">
        <v>3</v>
      </c>
      <c r="D11" s="69">
        <v>4</v>
      </c>
      <c r="E11" s="69">
        <v>5</v>
      </c>
      <c r="F11" s="70">
        <v>6</v>
      </c>
    </row>
    <row r="12" spans="1:6" ht="63.75">
      <c r="A12" s="4" t="s">
        <v>72</v>
      </c>
      <c r="B12" s="21" t="s">
        <v>8</v>
      </c>
      <c r="C12" s="22" t="s">
        <v>8</v>
      </c>
      <c r="D12" s="39" t="s">
        <v>8</v>
      </c>
      <c r="E12" s="22" t="s">
        <v>8</v>
      </c>
      <c r="F12" s="26">
        <f>(F14+F15)/2</f>
        <v>2.5</v>
      </c>
    </row>
    <row r="13" spans="1:6" ht="12.75">
      <c r="A13" s="4" t="s">
        <v>9</v>
      </c>
      <c r="B13" s="40"/>
      <c r="C13" s="41"/>
      <c r="D13" s="42"/>
      <c r="E13" s="43"/>
      <c r="F13" s="44"/>
    </row>
    <row r="14" spans="1:6" ht="36" customHeight="1">
      <c r="A14" s="4" t="s">
        <v>32</v>
      </c>
      <c r="B14" s="34">
        <v>25</v>
      </c>
      <c r="C14" s="34">
        <v>15</v>
      </c>
      <c r="D14" s="25">
        <f>IF(C14=0,IF(B14=0,100,120),B14/C14*100)</f>
        <v>166.66666666666669</v>
      </c>
      <c r="E14" s="22" t="s">
        <v>28</v>
      </c>
      <c r="F14" s="26">
        <f>IF(OR(AND(D14&lt;80,E14="прямая"),AND(D14&gt;120,E14="обратная")),3,IF(AND(D14&gt;=80,D14&lt;=120),2,1))</f>
        <v>3</v>
      </c>
    </row>
    <row r="15" spans="1:10" ht="42.75" customHeight="1">
      <c r="A15" s="4" t="s">
        <v>33</v>
      </c>
      <c r="B15" s="34">
        <v>158</v>
      </c>
      <c r="C15" s="34">
        <v>149</v>
      </c>
      <c r="D15" s="25">
        <f>IF(C15=0,IF(B15=0,100,120),B15/C15*100)</f>
        <v>106.04026845637584</v>
      </c>
      <c r="E15" s="22" t="s">
        <v>28</v>
      </c>
      <c r="F15" s="26">
        <f>IF(OR(AND(D15&lt;80,E15="прямая"),AND(D15&gt;120,E15="обратная")),3,IF(AND(D15&gt;=80,D15&lt;=120),2,1))</f>
        <v>2</v>
      </c>
      <c r="J15" s="122"/>
    </row>
    <row r="16" spans="1:6" ht="15.75">
      <c r="A16" s="4"/>
      <c r="B16" s="45"/>
      <c r="C16" s="13"/>
      <c r="D16" s="10"/>
      <c r="E16" s="10"/>
      <c r="F16" s="46"/>
    </row>
    <row r="17" spans="1:6" ht="25.5">
      <c r="A17" s="4" t="s">
        <v>34</v>
      </c>
      <c r="B17" s="21" t="s">
        <v>8</v>
      </c>
      <c r="C17" s="22" t="s">
        <v>8</v>
      </c>
      <c r="D17" s="22" t="s">
        <v>8</v>
      </c>
      <c r="E17" s="22" t="s">
        <v>8</v>
      </c>
      <c r="F17" s="26">
        <f>(F19+F20+F23)/3</f>
        <v>0.4166666666666667</v>
      </c>
    </row>
    <row r="18" spans="1:6" ht="12.75">
      <c r="A18" s="4" t="s">
        <v>9</v>
      </c>
      <c r="B18" s="47"/>
      <c r="C18" s="41"/>
      <c r="D18" s="43"/>
      <c r="E18" s="43"/>
      <c r="F18" s="44"/>
    </row>
    <row r="19" spans="1:6" ht="38.25">
      <c r="A19" s="4" t="s">
        <v>35</v>
      </c>
      <c r="B19" s="34">
        <v>18</v>
      </c>
      <c r="C19" s="34">
        <v>30</v>
      </c>
      <c r="D19" s="25">
        <f>IF(C19=0,IF(B19=0,100,120),B19/C19*100)</f>
        <v>60</v>
      </c>
      <c r="E19" s="22" t="s">
        <v>28</v>
      </c>
      <c r="F19" s="26">
        <f>IF(OR(AND(D19&lt;80,E19="прямая"),AND(D19&gt;120,E19="обратная")),0.75,IF(AND(D19&gt;=80,D19&lt;=120),0.5,0.25))</f>
        <v>0.25</v>
      </c>
    </row>
    <row r="20" spans="1:6" ht="25.5">
      <c r="A20" s="4" t="s">
        <v>36</v>
      </c>
      <c r="B20" s="21" t="s">
        <v>8</v>
      </c>
      <c r="C20" s="22" t="s">
        <v>8</v>
      </c>
      <c r="D20" s="39" t="s">
        <v>8</v>
      </c>
      <c r="E20" s="22" t="s">
        <v>8</v>
      </c>
      <c r="F20" s="26">
        <f>(F21+F22)/2</f>
        <v>0.5</v>
      </c>
    </row>
    <row r="21" spans="1:6" ht="38.25">
      <c r="A21" s="4" t="s">
        <v>37</v>
      </c>
      <c r="B21" s="34">
        <v>5</v>
      </c>
      <c r="C21" s="34">
        <v>5</v>
      </c>
      <c r="D21" s="25">
        <f>IF(C21=0,IF(B21=0,100,120),B21/C21*100)</f>
        <v>100</v>
      </c>
      <c r="E21" s="22" t="s">
        <v>28</v>
      </c>
      <c r="F21" s="26">
        <f>IF(OR(AND(D21&lt;80,E21="прямая"),AND(D21&gt;120,E21="обратная")),0.75,IF(AND(D21&gt;=80,D21&lt;=120),0.5,0.25))</f>
        <v>0.5</v>
      </c>
    </row>
    <row r="22" spans="1:6" ht="15.75">
      <c r="A22" s="4" t="s">
        <v>38</v>
      </c>
      <c r="B22" s="34">
        <v>7</v>
      </c>
      <c r="C22" s="34">
        <v>7</v>
      </c>
      <c r="D22" s="25">
        <f>IF(C22=0,IF(B22=0,100,120),B22/C22*100)</f>
        <v>100</v>
      </c>
      <c r="E22" s="22" t="s">
        <v>28</v>
      </c>
      <c r="F22" s="26">
        <f>IF(OR(AND(D22&lt;80,E22="прямая"),AND(D22&gt;120,E22="обратная")),0.75,IF(AND(D22&gt;=80,D22&lt;=120),0.5,0.25))</f>
        <v>0.5</v>
      </c>
    </row>
    <row r="23" spans="1:6" ht="63.75">
      <c r="A23" s="4" t="s">
        <v>73</v>
      </c>
      <c r="B23" s="34">
        <v>0</v>
      </c>
      <c r="C23" s="20">
        <v>0</v>
      </c>
      <c r="D23" s="25">
        <f>IF(C23=0,IF(B23=0,100,120),B23/C23*100)</f>
        <v>100</v>
      </c>
      <c r="E23" s="22" t="s">
        <v>28</v>
      </c>
      <c r="F23" s="35">
        <f>IF(OR(AND(D23&lt;80,E23="прямая"),AND(D23&gt;120,E23="обратная")),0.75,IF(AND(D23&gt;=80,D23&lt;=120),0.5,0.25))</f>
        <v>0.5</v>
      </c>
    </row>
    <row r="24" spans="1:6" ht="12.75">
      <c r="A24" s="4"/>
      <c r="B24" s="40"/>
      <c r="C24" s="41"/>
      <c r="D24" s="43"/>
      <c r="E24" s="43"/>
      <c r="F24" s="48"/>
    </row>
    <row r="25" spans="1:6" ht="25.5">
      <c r="A25" s="4" t="s">
        <v>39</v>
      </c>
      <c r="B25" s="21" t="s">
        <v>8</v>
      </c>
      <c r="C25" s="22" t="s">
        <v>8</v>
      </c>
      <c r="D25" s="22" t="s">
        <v>8</v>
      </c>
      <c r="E25" s="22" t="s">
        <v>8</v>
      </c>
      <c r="F25" s="35">
        <f>F27</f>
        <v>0.2</v>
      </c>
    </row>
    <row r="26" spans="1:6" ht="12.75">
      <c r="A26" s="4" t="s">
        <v>26</v>
      </c>
      <c r="B26" s="40"/>
      <c r="C26" s="41"/>
      <c r="D26" s="43"/>
      <c r="E26" s="43"/>
      <c r="F26" s="48"/>
    </row>
    <row r="27" spans="1:6" ht="102">
      <c r="A27" s="4" t="s">
        <v>74</v>
      </c>
      <c r="B27" s="34">
        <v>0</v>
      </c>
      <c r="C27" s="36">
        <v>0</v>
      </c>
      <c r="D27" s="25">
        <f>IF(C27=0,IF(B27=0,100,120),B27/C27*100)</f>
        <v>100</v>
      </c>
      <c r="E27" s="22" t="s">
        <v>28</v>
      </c>
      <c r="F27" s="35">
        <f>IF(OR(AND(D27&lt;80,E27="прямая"),AND(D27&gt;120,E27="обратная")),0.3,IF(AND(D27&gt;=80,D27&lt;=120),0.2,0.1))</f>
        <v>0.2</v>
      </c>
    </row>
    <row r="28" spans="1:6" ht="38.25">
      <c r="A28" s="4" t="s">
        <v>40</v>
      </c>
      <c r="B28" s="21" t="s">
        <v>8</v>
      </c>
      <c r="C28" s="22" t="s">
        <v>8</v>
      </c>
      <c r="D28" s="22" t="s">
        <v>8</v>
      </c>
      <c r="E28" s="22" t="s">
        <v>8</v>
      </c>
      <c r="F28" s="35">
        <f>F29</f>
        <v>0.2</v>
      </c>
    </row>
    <row r="29" spans="1:6" ht="63.75">
      <c r="A29" s="4" t="s">
        <v>75</v>
      </c>
      <c r="B29" s="34">
        <v>0</v>
      </c>
      <c r="C29" s="20">
        <v>0</v>
      </c>
      <c r="D29" s="25">
        <f>IF(C29=0,IF(B29=0,100,120),B29/C29*100)</f>
        <v>100</v>
      </c>
      <c r="E29" s="22" t="s">
        <v>28</v>
      </c>
      <c r="F29" s="35">
        <f>IF(OR(AND(D29&lt;80,E29="прямая"),AND(D29&gt;120,E29="обратная")),0.3,IF(AND(D29&gt;=80,D29&lt;=120),0.2,0.1))</f>
        <v>0.2</v>
      </c>
    </row>
    <row r="30" spans="1:6" ht="15.75">
      <c r="A30" s="4"/>
      <c r="B30" s="45"/>
      <c r="C30" s="13"/>
      <c r="D30" s="49"/>
      <c r="E30" s="10"/>
      <c r="F30" s="50"/>
    </row>
    <row r="31" spans="1:6" ht="38.25">
      <c r="A31" s="4" t="s">
        <v>41</v>
      </c>
      <c r="B31" s="21" t="s">
        <v>8</v>
      </c>
      <c r="C31" s="22" t="s">
        <v>8</v>
      </c>
      <c r="D31" s="22" t="s">
        <v>8</v>
      </c>
      <c r="E31" s="22" t="s">
        <v>8</v>
      </c>
      <c r="F31" s="26">
        <f>F32</f>
        <v>0.5</v>
      </c>
    </row>
    <row r="32" spans="1:6" ht="38.25">
      <c r="A32" s="4" t="s">
        <v>42</v>
      </c>
      <c r="B32" s="37">
        <v>0</v>
      </c>
      <c r="C32" s="18">
        <v>0</v>
      </c>
      <c r="D32" s="25">
        <f>IF(C32=0,IF(B32=0,100,120),B32/C32*100)</f>
        <v>100</v>
      </c>
      <c r="E32" s="22" t="s">
        <v>28</v>
      </c>
      <c r="F32" s="26">
        <f>IF(OR(AND(D32&lt;80,E32="прямая"),AND(D32&gt;120,E32="обратная")),0.75,IF(AND(D32&gt;=80,D32&lt;=120),0.5,0.25))</f>
        <v>0.5</v>
      </c>
    </row>
    <row r="33" spans="1:6" ht="15.75">
      <c r="A33" s="4"/>
      <c r="B33" s="45"/>
      <c r="C33" s="13"/>
      <c r="D33" s="49"/>
      <c r="E33" s="10"/>
      <c r="F33" s="46"/>
    </row>
    <row r="34" spans="1:6" ht="25.5">
      <c r="A34" s="4" t="s">
        <v>43</v>
      </c>
      <c r="B34" s="21" t="s">
        <v>8</v>
      </c>
      <c r="C34" s="22" t="s">
        <v>8</v>
      </c>
      <c r="D34" s="39" t="s">
        <v>8</v>
      </c>
      <c r="E34" s="22" t="s">
        <v>8</v>
      </c>
      <c r="F34" s="26">
        <f>(F36+F37)/2</f>
        <v>0.5</v>
      </c>
    </row>
    <row r="35" spans="1:6" ht="15.75">
      <c r="A35" s="4" t="s">
        <v>9</v>
      </c>
      <c r="B35" s="45"/>
      <c r="C35" s="13"/>
      <c r="D35" s="49"/>
      <c r="E35" s="10"/>
      <c r="F35" s="50"/>
    </row>
    <row r="36" spans="1:6" ht="38.25">
      <c r="A36" s="4" t="s">
        <v>44</v>
      </c>
      <c r="B36" s="34">
        <v>1</v>
      </c>
      <c r="C36" s="20">
        <v>1</v>
      </c>
      <c r="D36" s="25">
        <f>IF(C36=0,IF(B36=0,100,120),B36/C36*100)</f>
        <v>100</v>
      </c>
      <c r="E36" s="22" t="s">
        <v>11</v>
      </c>
      <c r="F36" s="35">
        <f>IF(OR(AND(D36&lt;80,E36="прямая"),AND(D36&gt;120,E36="обратная")),0.75,IF(AND(D36&gt;=80,D36&lt;=120),0.5,0.25))</f>
        <v>0.5</v>
      </c>
    </row>
    <row r="37" spans="1:6" ht="63.75">
      <c r="A37" s="4" t="s">
        <v>165</v>
      </c>
      <c r="B37" s="34">
        <v>0</v>
      </c>
      <c r="C37" s="36">
        <v>0</v>
      </c>
      <c r="D37" s="25">
        <f>IF(C37=0,IF(B37=0,100,120),B37/C37*100)</f>
        <v>100</v>
      </c>
      <c r="E37" s="22" t="s">
        <v>28</v>
      </c>
      <c r="F37" s="26">
        <f>IF(OR(AND(D37&lt;80,E37="прямая"),AND(D37&gt;120,E37="обратная")),0.75,IF(AND(D37&gt;=80,D37&lt;=120),0.5,0.25))</f>
        <v>0.5</v>
      </c>
    </row>
    <row r="38" spans="1:6" ht="25.5">
      <c r="A38" s="4" t="s">
        <v>45</v>
      </c>
      <c r="B38" s="21"/>
      <c r="C38" s="22" t="s">
        <v>8</v>
      </c>
      <c r="D38" s="39" t="s">
        <v>8</v>
      </c>
      <c r="E38" s="22" t="s">
        <v>8</v>
      </c>
      <c r="F38" s="35">
        <f>F39</f>
        <v>0.2</v>
      </c>
    </row>
    <row r="39" spans="1:6" ht="51">
      <c r="A39" s="4" t="s">
        <v>46</v>
      </c>
      <c r="B39" s="34">
        <v>0</v>
      </c>
      <c r="C39" s="20">
        <v>0</v>
      </c>
      <c r="D39" s="25">
        <f>IF(C39=0,IF(B39=0,100,120),B39/C39*100)</f>
        <v>100</v>
      </c>
      <c r="E39" s="22" t="s">
        <v>28</v>
      </c>
      <c r="F39" s="26">
        <f>IF(OR(AND(D39&lt;80,E39="прямая"),AND(D39&gt;120,E39="обратная")),0.3,IF(AND(D39&gt;=80,D39&lt;=120),0.2,0.1))</f>
        <v>0.2</v>
      </c>
    </row>
    <row r="40" spans="1:6" ht="16.5" thickBot="1">
      <c r="A40" s="6" t="s">
        <v>47</v>
      </c>
      <c r="B40" s="29"/>
      <c r="C40" s="51" t="s">
        <v>8</v>
      </c>
      <c r="D40" s="51" t="s">
        <v>8</v>
      </c>
      <c r="E40" s="51" t="s">
        <v>8</v>
      </c>
      <c r="F40" s="38">
        <f>ROUND(AVERAGE(F12,F17,F25,F28,F31,F34,F38),3)</f>
        <v>0.645</v>
      </c>
    </row>
  </sheetData>
  <sheetProtection/>
  <mergeCells count="11">
    <mergeCell ref="B9:C9"/>
    <mergeCell ref="D9:D10"/>
    <mergeCell ref="E9:E10"/>
    <mergeCell ref="F9:F10"/>
    <mergeCell ref="E2:F2"/>
    <mergeCell ref="E1:F1"/>
    <mergeCell ref="A3:F3"/>
    <mergeCell ref="A5:F5"/>
    <mergeCell ref="A6:F6"/>
    <mergeCell ref="A8:A10"/>
    <mergeCell ref="B8:F8"/>
  </mergeCells>
  <printOptions horizontalCentered="1"/>
  <pageMargins left="0.4724409448818898" right="0.4330708661417323" top="0.35433070866141736" bottom="0.1968503937007874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115" zoomScaleSheetLayoutView="115" zoomScalePageLayoutView="0" workbookViewId="0" topLeftCell="A31">
      <selection activeCell="A44" sqref="A44:IV45"/>
    </sheetView>
  </sheetViews>
  <sheetFormatPr defaultColWidth="9.140625" defaultRowHeight="12.75"/>
  <cols>
    <col min="1" max="1" width="55.421875" style="0" customWidth="1"/>
    <col min="4" max="4" width="12.8515625" style="0" customWidth="1"/>
    <col min="5" max="6" width="13.421875" style="0" customWidth="1"/>
  </cols>
  <sheetData>
    <row r="1" spans="1:6" ht="15.75">
      <c r="A1" s="33"/>
      <c r="B1" s="33"/>
      <c r="C1" s="33"/>
      <c r="D1" s="32"/>
      <c r="E1" s="148" t="s">
        <v>148</v>
      </c>
      <c r="F1" s="148"/>
    </row>
    <row r="2" spans="1:6" ht="12.75">
      <c r="A2" s="31"/>
      <c r="B2" s="30"/>
      <c r="C2" s="30"/>
      <c r="D2" s="30"/>
      <c r="E2" s="30"/>
      <c r="F2" s="30"/>
    </row>
    <row r="3" spans="1:6" ht="14.25">
      <c r="A3" s="161" t="s">
        <v>161</v>
      </c>
      <c r="B3" s="161"/>
      <c r="C3" s="161"/>
      <c r="D3" s="161"/>
      <c r="E3" s="161"/>
      <c r="F3" s="161"/>
    </row>
    <row r="4" spans="1:6" ht="12.75">
      <c r="A4" s="31"/>
      <c r="B4" s="53"/>
      <c r="C4" s="53"/>
      <c r="D4" s="53"/>
      <c r="E4" s="30"/>
      <c r="F4" s="30"/>
    </row>
    <row r="5" spans="1:6" ht="15.75">
      <c r="A5" s="150" t="s">
        <v>76</v>
      </c>
      <c r="B5" s="150"/>
      <c r="C5" s="150"/>
      <c r="D5" s="150"/>
      <c r="E5" s="150"/>
      <c r="F5" s="150"/>
    </row>
    <row r="6" spans="1:6" ht="12.75">
      <c r="A6" s="164" t="s">
        <v>66</v>
      </c>
      <c r="B6" s="164"/>
      <c r="C6" s="164"/>
      <c r="D6" s="164"/>
      <c r="E6" s="164"/>
      <c r="F6" s="164"/>
    </row>
    <row r="7" spans="1:6" ht="12.75">
      <c r="A7" s="31"/>
      <c r="B7" s="30"/>
      <c r="C7" s="30"/>
      <c r="D7" s="30"/>
      <c r="E7" s="30"/>
      <c r="F7" s="30"/>
    </row>
    <row r="8" spans="1:6" ht="13.5" thickBot="1">
      <c r="A8" s="31"/>
      <c r="B8" s="30"/>
      <c r="C8" s="30"/>
      <c r="D8" s="30"/>
      <c r="E8" s="30"/>
      <c r="F8" s="30"/>
    </row>
    <row r="9" spans="1:6" ht="12.75">
      <c r="A9" s="152" t="s">
        <v>0</v>
      </c>
      <c r="B9" s="154" t="s">
        <v>159</v>
      </c>
      <c r="C9" s="154"/>
      <c r="D9" s="154"/>
      <c r="E9" s="154"/>
      <c r="F9" s="155"/>
    </row>
    <row r="10" spans="1:6" ht="12.75">
      <c r="A10" s="153"/>
      <c r="B10" s="156" t="s">
        <v>1</v>
      </c>
      <c r="C10" s="156"/>
      <c r="D10" s="157" t="s">
        <v>2</v>
      </c>
      <c r="E10" s="157" t="s">
        <v>3</v>
      </c>
      <c r="F10" s="159" t="s">
        <v>4</v>
      </c>
    </row>
    <row r="11" spans="1:6" ht="12.75">
      <c r="A11" s="153"/>
      <c r="B11" s="66" t="s">
        <v>5</v>
      </c>
      <c r="C11" s="66" t="s">
        <v>6</v>
      </c>
      <c r="D11" s="158"/>
      <c r="E11" s="157"/>
      <c r="F11" s="159"/>
    </row>
    <row r="12" spans="1:6" ht="15.75">
      <c r="A12" s="67">
        <v>1</v>
      </c>
      <c r="B12" s="68">
        <v>2</v>
      </c>
      <c r="C12" s="68">
        <v>3</v>
      </c>
      <c r="D12" s="69">
        <v>4</v>
      </c>
      <c r="E12" s="69">
        <v>5</v>
      </c>
      <c r="F12" s="70">
        <v>6</v>
      </c>
    </row>
    <row r="13" spans="1:6" ht="38.25">
      <c r="A13" s="7" t="s">
        <v>48</v>
      </c>
      <c r="B13" s="19">
        <v>1</v>
      </c>
      <c r="C13" s="20">
        <v>1</v>
      </c>
      <c r="D13" s="25">
        <f>IF(C13=0,IF(B13=0,100,120),B13/C13*100)</f>
        <v>100</v>
      </c>
      <c r="E13" s="25" t="s">
        <v>11</v>
      </c>
      <c r="F13" s="26">
        <f>IF(OR(AND(D13&lt;80,E13="прямая"),AND(D13&gt;120,E13="обратная")),3,IF(AND(D13&gt;=80,D13&lt;=120),2,1))</f>
        <v>2</v>
      </c>
    </row>
    <row r="14" spans="1:6" ht="15.75">
      <c r="A14" s="7"/>
      <c r="B14" s="12"/>
      <c r="C14" s="13"/>
      <c r="D14" s="58"/>
      <c r="E14" s="59"/>
      <c r="F14" s="46"/>
    </row>
    <row r="15" spans="1:6" ht="15.75">
      <c r="A15" s="7" t="s">
        <v>49</v>
      </c>
      <c r="B15" s="21" t="s">
        <v>8</v>
      </c>
      <c r="C15" s="22" t="s">
        <v>8</v>
      </c>
      <c r="D15" s="39" t="s">
        <v>8</v>
      </c>
      <c r="E15" s="39" t="s">
        <v>8</v>
      </c>
      <c r="F15" s="26">
        <f>(F17+F18+F19+F20+F21+F22)/6</f>
        <v>2</v>
      </c>
    </row>
    <row r="16" spans="1:6" ht="12.75">
      <c r="A16" s="7" t="s">
        <v>9</v>
      </c>
      <c r="B16" s="40"/>
      <c r="C16" s="41"/>
      <c r="D16" s="60"/>
      <c r="E16" s="61"/>
      <c r="F16" s="44"/>
    </row>
    <row r="17" spans="1:6" ht="51">
      <c r="A17" s="7" t="s">
        <v>50</v>
      </c>
      <c r="B17" s="18">
        <v>0</v>
      </c>
      <c r="C17" s="18">
        <v>0</v>
      </c>
      <c r="D17" s="25">
        <f aca="true" t="shared" si="0" ref="D17:D22">IF(C17=0,IF(B17=0,100,120),B17/C17*100)</f>
        <v>100</v>
      </c>
      <c r="E17" s="25" t="s">
        <v>28</v>
      </c>
      <c r="F17" s="26">
        <f aca="true" t="shared" si="1" ref="F17:F22">IF(OR(AND(D17&lt;80,E17="прямая"),AND(D17&gt;120,E17="обратная")),3,IF(AND(D17&gt;=80,D17&lt;=120),2,1))</f>
        <v>2</v>
      </c>
    </row>
    <row r="18" spans="1:6" ht="63.75">
      <c r="A18" s="7" t="s">
        <v>51</v>
      </c>
      <c r="B18" s="24">
        <v>0</v>
      </c>
      <c r="C18" s="18">
        <v>0</v>
      </c>
      <c r="D18" s="25">
        <f t="shared" si="0"/>
        <v>100</v>
      </c>
      <c r="E18" s="25" t="s">
        <v>11</v>
      </c>
      <c r="F18" s="26">
        <f t="shared" si="1"/>
        <v>2</v>
      </c>
    </row>
    <row r="19" spans="1:6" ht="76.5">
      <c r="A19" s="7" t="s">
        <v>67</v>
      </c>
      <c r="B19" s="19">
        <v>0</v>
      </c>
      <c r="C19" s="20">
        <v>0</v>
      </c>
      <c r="D19" s="25">
        <f t="shared" si="0"/>
        <v>100</v>
      </c>
      <c r="E19" s="25" t="s">
        <v>28</v>
      </c>
      <c r="F19" s="26">
        <f t="shared" si="1"/>
        <v>2</v>
      </c>
    </row>
    <row r="20" spans="1:6" ht="63.75">
      <c r="A20" s="7" t="s">
        <v>68</v>
      </c>
      <c r="B20" s="19">
        <v>0</v>
      </c>
      <c r="C20" s="18">
        <v>0</v>
      </c>
      <c r="D20" s="25">
        <f t="shared" si="0"/>
        <v>100</v>
      </c>
      <c r="E20" s="25" t="s">
        <v>28</v>
      </c>
      <c r="F20" s="26">
        <f t="shared" si="1"/>
        <v>2</v>
      </c>
    </row>
    <row r="21" spans="1:6" ht="51">
      <c r="A21" s="7" t="s">
        <v>69</v>
      </c>
      <c r="B21" s="18">
        <v>0</v>
      </c>
      <c r="C21" s="18">
        <v>0</v>
      </c>
      <c r="D21" s="25">
        <f t="shared" si="0"/>
        <v>100</v>
      </c>
      <c r="E21" s="25" t="s">
        <v>11</v>
      </c>
      <c r="F21" s="26">
        <f t="shared" si="1"/>
        <v>2</v>
      </c>
    </row>
    <row r="22" spans="1:6" ht="38.25">
      <c r="A22" s="7" t="s">
        <v>52</v>
      </c>
      <c r="B22" s="19">
        <v>1</v>
      </c>
      <c r="C22" s="54">
        <v>1</v>
      </c>
      <c r="D22" s="25">
        <f t="shared" si="0"/>
        <v>100</v>
      </c>
      <c r="E22" s="25" t="s">
        <v>11</v>
      </c>
      <c r="F22" s="26">
        <f t="shared" si="1"/>
        <v>2</v>
      </c>
    </row>
    <row r="23" spans="1:6" ht="15.75">
      <c r="A23" s="7"/>
      <c r="B23" s="12"/>
      <c r="C23" s="13"/>
      <c r="D23" s="60"/>
      <c r="E23" s="59"/>
      <c r="F23" s="46"/>
    </row>
    <row r="24" spans="1:6" ht="25.5">
      <c r="A24" s="7" t="s">
        <v>53</v>
      </c>
      <c r="B24" s="21" t="s">
        <v>8</v>
      </c>
      <c r="C24" s="22" t="s">
        <v>8</v>
      </c>
      <c r="D24" s="22" t="s">
        <v>8</v>
      </c>
      <c r="E24" s="22" t="s">
        <v>8</v>
      </c>
      <c r="F24" s="26">
        <f>(F26+F27)/2</f>
        <v>2</v>
      </c>
    </row>
    <row r="25" spans="1:6" ht="15.75">
      <c r="A25" s="7" t="s">
        <v>9</v>
      </c>
      <c r="B25" s="12"/>
      <c r="C25" s="13"/>
      <c r="D25" s="60"/>
      <c r="E25" s="59"/>
      <c r="F25" s="46"/>
    </row>
    <row r="26" spans="1:6" ht="25.5">
      <c r="A26" s="7" t="s">
        <v>54</v>
      </c>
      <c r="B26" s="19">
        <v>7</v>
      </c>
      <c r="C26" s="54">
        <v>7</v>
      </c>
      <c r="D26" s="25">
        <f>IF(C26=0,IF(B26=0,100,120),B26/C26*100)</f>
        <v>100</v>
      </c>
      <c r="E26" s="25" t="s">
        <v>28</v>
      </c>
      <c r="F26" s="26">
        <f>IF(OR(AND(D26&lt;80,E26="прямая"),AND(D26&gt;120,E26="обратная")),3,IF(AND(D26&gt;=80,D26&lt;=120),2,1))</f>
        <v>2</v>
      </c>
    </row>
    <row r="27" spans="1:6" ht="38.25">
      <c r="A27" s="7" t="s">
        <v>55</v>
      </c>
      <c r="B27" s="21" t="s">
        <v>8</v>
      </c>
      <c r="C27" s="22" t="s">
        <v>8</v>
      </c>
      <c r="D27" s="39" t="s">
        <v>8</v>
      </c>
      <c r="E27" s="22" t="s">
        <v>8</v>
      </c>
      <c r="F27" s="26">
        <f>(F28+F29+F30)/3</f>
        <v>2</v>
      </c>
    </row>
    <row r="28" spans="1:6" ht="15.75">
      <c r="A28" s="7" t="s">
        <v>56</v>
      </c>
      <c r="B28" s="19">
        <v>0</v>
      </c>
      <c r="C28" s="34">
        <v>0</v>
      </c>
      <c r="D28" s="25">
        <f>IF(C28=0,IF(B28=0,100,120),B28/C28*100)</f>
        <v>100</v>
      </c>
      <c r="E28" s="25" t="s">
        <v>11</v>
      </c>
      <c r="F28" s="26">
        <f>IF(OR(AND(D28&lt;80,E28="прямая"),AND(D28&gt;120,E28="обратная")),3,IF(AND(D28&gt;=80,D28&lt;=120),2,1))</f>
        <v>2</v>
      </c>
    </row>
    <row r="29" spans="1:6" ht="25.5">
      <c r="A29" s="7" t="s">
        <v>57</v>
      </c>
      <c r="B29" s="55">
        <v>0</v>
      </c>
      <c r="C29" s="55">
        <v>0</v>
      </c>
      <c r="D29" s="25">
        <f>IF(C29=0,IF(B29=0,100,120),B29/C29*100)</f>
        <v>100</v>
      </c>
      <c r="E29" s="25" t="s">
        <v>11</v>
      </c>
      <c r="F29" s="26">
        <f>IF(OR(AND(D29&lt;80,E29="прямая"),AND(D29&gt;120,E29="обратная")),3,IF(AND(D29&gt;=80,D29&lt;=120),2,1))</f>
        <v>2</v>
      </c>
    </row>
    <row r="30" spans="1:6" ht="25.5">
      <c r="A30" s="7" t="s">
        <v>58</v>
      </c>
      <c r="B30" s="19">
        <v>0</v>
      </c>
      <c r="C30" s="20">
        <v>0</v>
      </c>
      <c r="D30" s="25">
        <f>IF(C30=0,IF(B30=0,100,120),B30/C30*100)</f>
        <v>100</v>
      </c>
      <c r="E30" s="25" t="s">
        <v>11</v>
      </c>
      <c r="F30" s="26">
        <f>IF(OR(AND(D30&lt;80,E30="прямая"),AND(D30&gt;120,E30="обратная")),3,IF(AND(D30&gt;=80,D30&lt;=120),2,1))</f>
        <v>2</v>
      </c>
    </row>
    <row r="31" spans="1:6" ht="15.75">
      <c r="A31" s="7"/>
      <c r="B31" s="12"/>
      <c r="C31" s="13"/>
      <c r="D31" s="60"/>
      <c r="E31" s="59"/>
      <c r="F31" s="46"/>
    </row>
    <row r="32" spans="1:6" ht="25.5">
      <c r="A32" s="7" t="s">
        <v>59</v>
      </c>
      <c r="B32" s="21" t="s">
        <v>8</v>
      </c>
      <c r="C32" s="22" t="s">
        <v>8</v>
      </c>
      <c r="D32" s="22" t="s">
        <v>8</v>
      </c>
      <c r="E32" s="22" t="s">
        <v>8</v>
      </c>
      <c r="F32" s="26">
        <f>F33</f>
        <v>2</v>
      </c>
    </row>
    <row r="33" spans="1:6" ht="38.25">
      <c r="A33" s="7" t="s">
        <v>60</v>
      </c>
      <c r="B33" s="19">
        <v>0</v>
      </c>
      <c r="C33" s="20">
        <v>0</v>
      </c>
      <c r="D33" s="25">
        <f>IF(C33=0,IF(B33=0,100,120),B33/C33*100)</f>
        <v>100</v>
      </c>
      <c r="E33" s="25" t="s">
        <v>28</v>
      </c>
      <c r="F33" s="26">
        <f>IF(OR(AND(D33&lt;80,E33="прямая"),AND(D33&gt;120,E33="обратная")),3,IF(AND(D33&gt;=80,D33&lt;=120),2,1))</f>
        <v>2</v>
      </c>
    </row>
    <row r="34" spans="1:6" ht="15.75">
      <c r="A34" s="7"/>
      <c r="B34" s="40"/>
      <c r="C34" s="41"/>
      <c r="D34" s="60"/>
      <c r="E34" s="59"/>
      <c r="F34" s="44"/>
    </row>
    <row r="35" spans="1:6" ht="51">
      <c r="A35" s="7" t="s">
        <v>61</v>
      </c>
      <c r="B35" s="21" t="s">
        <v>8</v>
      </c>
      <c r="C35" s="22" t="s">
        <v>8</v>
      </c>
      <c r="D35" s="22" t="s">
        <v>8</v>
      </c>
      <c r="E35" s="22" t="s">
        <v>8</v>
      </c>
      <c r="F35" s="26">
        <f>(F37+F38)/2</f>
        <v>2</v>
      </c>
    </row>
    <row r="36" spans="1:6" ht="15.75">
      <c r="A36" s="7" t="s">
        <v>9</v>
      </c>
      <c r="B36" s="12"/>
      <c r="C36" s="13"/>
      <c r="D36" s="58"/>
      <c r="E36" s="59"/>
      <c r="F36" s="46"/>
    </row>
    <row r="37" spans="1:6" ht="38.25">
      <c r="A37" s="7" t="s">
        <v>62</v>
      </c>
      <c r="B37" s="54">
        <v>0</v>
      </c>
      <c r="C37" s="34">
        <v>0</v>
      </c>
      <c r="D37" s="25">
        <f>IF(C37=0,IF(B37=0,100,120),B37/C37*100)</f>
        <v>100</v>
      </c>
      <c r="E37" s="25" t="s">
        <v>28</v>
      </c>
      <c r="F37" s="26">
        <f>IF(OR(AND(D37&lt;80,E37="прямая"),AND(D37&gt;120,E37="обратная")),3,IF(AND(D37&gt;=80,D37&lt;=120),2,1))</f>
        <v>2</v>
      </c>
    </row>
    <row r="38" spans="1:6" ht="76.5">
      <c r="A38" s="7" t="s">
        <v>70</v>
      </c>
      <c r="B38" s="18">
        <v>0</v>
      </c>
      <c r="C38" s="56">
        <v>0</v>
      </c>
      <c r="D38" s="25">
        <f>IF(C38=0,IF(B38=0,100,120),B38/C38*100)</f>
        <v>100</v>
      </c>
      <c r="E38" s="57" t="s">
        <v>11</v>
      </c>
      <c r="F38" s="26">
        <f>IF(OR(AND(D38&lt;80,E38="прямая"),AND(D38&gt;120,E38="обратная")),3,IF(AND(D38&gt;80,D38&lt;120),2,1))</f>
        <v>2</v>
      </c>
    </row>
    <row r="39" spans="1:6" ht="15.75">
      <c r="A39" s="7"/>
      <c r="B39" s="62"/>
      <c r="C39" s="63"/>
      <c r="D39" s="58"/>
      <c r="E39" s="59"/>
      <c r="F39" s="50"/>
    </row>
    <row r="40" spans="1:6" ht="16.5" thickBot="1">
      <c r="A40" s="5" t="s">
        <v>63</v>
      </c>
      <c r="B40" s="29" t="s">
        <v>8</v>
      </c>
      <c r="C40" s="51" t="s">
        <v>8</v>
      </c>
      <c r="D40" s="51" t="s">
        <v>8</v>
      </c>
      <c r="E40" s="51" t="s">
        <v>8</v>
      </c>
      <c r="F40" s="65">
        <f>AVERAGE(F13,F15,F24,F32,F35)</f>
        <v>2</v>
      </c>
    </row>
  </sheetData>
  <sheetProtection/>
  <mergeCells count="10">
    <mergeCell ref="E1:F1"/>
    <mergeCell ref="A3:F3"/>
    <mergeCell ref="A5:F5"/>
    <mergeCell ref="A6:F6"/>
    <mergeCell ref="A9:A11"/>
    <mergeCell ref="B9:F9"/>
    <mergeCell ref="B10:C10"/>
    <mergeCell ref="D10:D11"/>
    <mergeCell ref="E10:E11"/>
    <mergeCell ref="F10:F11"/>
  </mergeCells>
  <printOptions horizontalCentered="1"/>
  <pageMargins left="0.5511811023622047" right="0.2362204724409449" top="0.2755905511811024" bottom="0.15748031496062992" header="0.31496062992125984" footer="0.1574803149606299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C15"/>
  <sheetViews>
    <sheetView view="pageBreakPreview" zoomScale="85" zoomScaleSheetLayoutView="85" zoomScalePageLayoutView="0" workbookViewId="0" topLeftCell="A1">
      <selection activeCell="DQ6" sqref="DQ6"/>
    </sheetView>
  </sheetViews>
  <sheetFormatPr defaultColWidth="9.140625" defaultRowHeight="12.75"/>
  <cols>
    <col min="1" max="1" width="3.57421875" style="0" customWidth="1"/>
    <col min="2" max="2" width="94.00390625" style="0" customWidth="1"/>
    <col min="3" max="3" width="16.140625" style="0" customWidth="1"/>
  </cols>
  <sheetData>
    <row r="1" ht="19.5" customHeight="1">
      <c r="C1" s="1" t="s">
        <v>149</v>
      </c>
    </row>
    <row r="3" spans="2:3" ht="15.75">
      <c r="B3" s="165" t="s">
        <v>82</v>
      </c>
      <c r="C3" s="165"/>
    </row>
    <row r="4" spans="2:3" ht="15.75">
      <c r="B4" s="165" t="s">
        <v>83</v>
      </c>
      <c r="C4" s="165"/>
    </row>
    <row r="5" spans="2:3" ht="15.75">
      <c r="B5" s="165" t="s">
        <v>162</v>
      </c>
      <c r="C5" s="165"/>
    </row>
    <row r="6" spans="2:3" ht="15.75">
      <c r="B6" s="115"/>
      <c r="C6" s="2"/>
    </row>
    <row r="7" spans="2:3" ht="15.75">
      <c r="B7" s="166" t="s">
        <v>76</v>
      </c>
      <c r="C7" s="166"/>
    </row>
    <row r="8" spans="2:3" ht="15">
      <c r="B8" s="167" t="s">
        <v>84</v>
      </c>
      <c r="C8" s="167"/>
    </row>
    <row r="10" ht="13.5" thickBot="1"/>
    <row r="11" spans="2:3" ht="30.75" customHeight="1" thickBot="1">
      <c r="B11" s="116" t="s">
        <v>78</v>
      </c>
      <c r="C11" s="117" t="s">
        <v>77</v>
      </c>
    </row>
    <row r="12" spans="2:3" ht="16.5" thickBot="1">
      <c r="B12" s="118">
        <v>1</v>
      </c>
      <c r="C12" s="119">
        <v>2</v>
      </c>
    </row>
    <row r="13" spans="2:3" ht="81" customHeight="1" thickBot="1">
      <c r="B13" s="84" t="s">
        <v>79</v>
      </c>
      <c r="C13" s="85">
        <v>1108</v>
      </c>
    </row>
    <row r="14" spans="2:3" ht="75.75" thickBot="1">
      <c r="B14" s="83" t="s">
        <v>80</v>
      </c>
      <c r="C14" s="85">
        <v>349</v>
      </c>
    </row>
    <row r="15" spans="2:3" ht="39.75" customHeight="1" thickBot="1">
      <c r="B15" s="84" t="s">
        <v>81</v>
      </c>
      <c r="C15" s="86">
        <f>C13/(C13-C14)</f>
        <v>1.4598155467720686</v>
      </c>
    </row>
  </sheetData>
  <sheetProtection/>
  <mergeCells count="5">
    <mergeCell ref="B3:C3"/>
    <mergeCell ref="B4:C4"/>
    <mergeCell ref="B5:C5"/>
    <mergeCell ref="B7:C7"/>
    <mergeCell ref="B8:C8"/>
  </mergeCell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C16"/>
  <sheetViews>
    <sheetView view="pageBreakPreview" zoomScale="85" zoomScaleSheetLayoutView="85" zoomScalePageLayoutView="0" workbookViewId="0" topLeftCell="A1">
      <selection activeCell="DQ6" sqref="DQ6"/>
    </sheetView>
  </sheetViews>
  <sheetFormatPr defaultColWidth="9.140625" defaultRowHeight="12.75"/>
  <cols>
    <col min="1" max="1" width="3.421875" style="0" customWidth="1"/>
    <col min="2" max="2" width="83.140625" style="0" customWidth="1"/>
    <col min="3" max="3" width="16.57421875" style="0" customWidth="1"/>
  </cols>
  <sheetData>
    <row r="1" ht="22.5" customHeight="1">
      <c r="C1" s="1" t="s">
        <v>150</v>
      </c>
    </row>
    <row r="4" spans="2:3" ht="15.75">
      <c r="B4" s="165" t="s">
        <v>95</v>
      </c>
      <c r="C4" s="165"/>
    </row>
    <row r="5" spans="2:3" ht="15.75">
      <c r="B5" s="165" t="s">
        <v>96</v>
      </c>
      <c r="C5" s="165"/>
    </row>
    <row r="6" spans="2:3" ht="15.75">
      <c r="B6" s="165" t="s">
        <v>97</v>
      </c>
      <c r="C6" s="165"/>
    </row>
    <row r="7" spans="2:3" ht="15.75">
      <c r="B7" s="165" t="s">
        <v>163</v>
      </c>
      <c r="C7" s="165"/>
    </row>
    <row r="8" spans="2:3" ht="15.75">
      <c r="B8" s="115"/>
      <c r="C8" s="2"/>
    </row>
    <row r="9" spans="2:3" ht="15.75">
      <c r="B9" s="166" t="str">
        <f>'Форма 3.1.'!B7:C7</f>
        <v>ОАО "Югорская региональная электросетевая компания"</v>
      </c>
      <c r="C9" s="166"/>
    </row>
    <row r="10" spans="2:3" ht="15">
      <c r="B10" s="167" t="s">
        <v>84</v>
      </c>
      <c r="C10" s="167"/>
    </row>
    <row r="11" ht="15.75" thickBot="1">
      <c r="B11" s="87"/>
    </row>
    <row r="12" spans="2:3" ht="15.75" thickBot="1">
      <c r="B12" s="79" t="s">
        <v>78</v>
      </c>
      <c r="C12" s="80" t="s">
        <v>77</v>
      </c>
    </row>
    <row r="13" spans="2:3" ht="15.75" thickBot="1">
      <c r="B13" s="81">
        <v>1</v>
      </c>
      <c r="C13" s="82">
        <v>2</v>
      </c>
    </row>
    <row r="14" spans="2:3" ht="65.25" customHeight="1" thickBot="1">
      <c r="B14" s="84" t="s">
        <v>85</v>
      </c>
      <c r="C14" s="85">
        <v>535</v>
      </c>
    </row>
    <row r="15" spans="2:3" ht="60.75" thickBot="1">
      <c r="B15" s="83" t="s">
        <v>86</v>
      </c>
      <c r="C15" s="85">
        <v>200</v>
      </c>
    </row>
    <row r="16" spans="2:3" ht="34.5" customHeight="1" thickBot="1">
      <c r="B16" s="84" t="s">
        <v>87</v>
      </c>
      <c r="C16" s="86">
        <f>C14/(C14-C15)</f>
        <v>1.5970149253731343</v>
      </c>
    </row>
  </sheetData>
  <sheetProtection/>
  <mergeCells count="6">
    <mergeCell ref="B4:C4"/>
    <mergeCell ref="B5:C5"/>
    <mergeCell ref="B6:C6"/>
    <mergeCell ref="B7:C7"/>
    <mergeCell ref="B9:C9"/>
    <mergeCell ref="B10:C10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C17"/>
  <sheetViews>
    <sheetView view="pageBreakPreview" zoomScale="115" zoomScaleSheetLayoutView="115" zoomScalePageLayoutView="0" workbookViewId="0" topLeftCell="A1">
      <selection activeCell="DQ6" sqref="DQ6"/>
    </sheetView>
  </sheetViews>
  <sheetFormatPr defaultColWidth="9.140625" defaultRowHeight="12.75"/>
  <cols>
    <col min="1" max="1" width="3.28125" style="0" customWidth="1"/>
    <col min="2" max="2" width="72.8515625" style="0" customWidth="1"/>
    <col min="3" max="3" width="22.57421875" style="0" customWidth="1"/>
  </cols>
  <sheetData>
    <row r="1" ht="18.75" customHeight="1">
      <c r="C1" s="1" t="s">
        <v>151</v>
      </c>
    </row>
    <row r="4" spans="2:3" ht="18.75">
      <c r="B4" s="168" t="s">
        <v>88</v>
      </c>
      <c r="C4" s="168"/>
    </row>
    <row r="5" spans="2:3" ht="18.75">
      <c r="B5" s="168" t="s">
        <v>93</v>
      </c>
      <c r="C5" s="168"/>
    </row>
    <row r="6" spans="2:3" ht="18.75">
      <c r="B6" s="168" t="s">
        <v>92</v>
      </c>
      <c r="C6" s="168"/>
    </row>
    <row r="7" spans="2:3" ht="18.75">
      <c r="B7" s="168" t="s">
        <v>94</v>
      </c>
      <c r="C7" s="168"/>
    </row>
    <row r="8" spans="2:3" ht="18.75">
      <c r="B8" s="168" t="s">
        <v>164</v>
      </c>
      <c r="C8" s="168"/>
    </row>
    <row r="9" spans="2:3" ht="18.75">
      <c r="B9" s="120"/>
      <c r="C9" s="121"/>
    </row>
    <row r="10" spans="2:3" ht="18.75">
      <c r="B10" s="169" t="str">
        <f>'Форма 3.2.'!B9:C9</f>
        <v>ОАО "Югорская региональная электросетевая компания"</v>
      </c>
      <c r="C10" s="169"/>
    </row>
    <row r="11" spans="2:3" ht="15">
      <c r="B11" s="167" t="s">
        <v>84</v>
      </c>
      <c r="C11" s="167"/>
    </row>
    <row r="12" ht="15.75" thickBot="1">
      <c r="B12" s="87"/>
    </row>
    <row r="13" spans="2:3" ht="15.75" thickBot="1">
      <c r="B13" s="79" t="s">
        <v>78</v>
      </c>
      <c r="C13" s="80" t="s">
        <v>1</v>
      </c>
    </row>
    <row r="14" spans="2:3" ht="15.75" thickBot="1">
      <c r="B14" s="81">
        <v>1</v>
      </c>
      <c r="C14" s="82">
        <v>2</v>
      </c>
    </row>
    <row r="15" spans="2:3" ht="85.5" customHeight="1" thickBot="1">
      <c r="B15" s="84" t="s">
        <v>89</v>
      </c>
      <c r="C15" s="85">
        <v>0</v>
      </c>
    </row>
    <row r="16" spans="2:3" ht="46.5" customHeight="1" thickBot="1">
      <c r="B16" s="84" t="s">
        <v>90</v>
      </c>
      <c r="C16" s="85">
        <v>118.6</v>
      </c>
    </row>
    <row r="17" spans="2:3" ht="45.75" thickBot="1">
      <c r="B17" s="84" t="s">
        <v>91</v>
      </c>
      <c r="C17" s="86">
        <f>C16/(C16-C15)</f>
        <v>1</v>
      </c>
    </row>
  </sheetData>
  <sheetProtection/>
  <mergeCells count="7">
    <mergeCell ref="B11:C11"/>
    <mergeCell ref="B4:C4"/>
    <mergeCell ref="B5:C5"/>
    <mergeCell ref="B6:C6"/>
    <mergeCell ref="B7:C7"/>
    <mergeCell ref="B8:C8"/>
    <mergeCell ref="B10:C10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U25"/>
  <sheetViews>
    <sheetView view="pageBreakPreview" zoomScaleSheetLayoutView="100" zoomScalePageLayoutView="0" workbookViewId="0" topLeftCell="A13">
      <selection activeCell="A27" sqref="A27:IV28"/>
    </sheetView>
  </sheetViews>
  <sheetFormatPr defaultColWidth="0.85546875" defaultRowHeight="12.75"/>
  <cols>
    <col min="1" max="39" width="1.1484375" style="94" customWidth="1"/>
    <col min="40" max="99" width="0.85546875" style="94" customWidth="1"/>
    <col min="100" max="100" width="1.1484375" style="94" customWidth="1"/>
    <col min="101" max="16384" width="0.85546875" style="94" customWidth="1"/>
  </cols>
  <sheetData>
    <row r="1" s="88" customFormat="1" ht="15.75">
      <c r="CU1" s="89" t="s">
        <v>152</v>
      </c>
    </row>
    <row r="2" s="88" customFormat="1" ht="15.75"/>
    <row r="3" spans="1:99" s="88" customFormat="1" ht="48" customHeight="1">
      <c r="A3" s="144" t="s">
        <v>166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</row>
    <row r="4" spans="1:99" s="88" customFormat="1" ht="27.75" customHeight="1">
      <c r="A4" s="184" t="s">
        <v>76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</row>
    <row r="5" s="88" customFormat="1" ht="15.75"/>
    <row r="6" spans="1:99" s="90" customFormat="1" ht="46.5" customHeight="1">
      <c r="A6" s="200" t="s">
        <v>78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0" t="s">
        <v>98</v>
      </c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2"/>
      <c r="BR6" s="200" t="s">
        <v>1</v>
      </c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2"/>
    </row>
    <row r="7" spans="1:99" s="90" customFormat="1" ht="61.5" customHeight="1">
      <c r="A7" s="91"/>
      <c r="B7" s="193" t="s">
        <v>99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71" t="s">
        <v>100</v>
      </c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3"/>
      <c r="BR7" s="197">
        <v>0.003982402368591147</v>
      </c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9"/>
    </row>
    <row r="8" spans="1:99" s="90" customFormat="1" ht="75.75" customHeight="1">
      <c r="A8" s="93"/>
      <c r="B8" s="193" t="s">
        <v>155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71" t="s">
        <v>101</v>
      </c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3"/>
      <c r="BR8" s="197">
        <f>'Форма 3.1.'!C15*0.4+'Форма 3.2.'!C16*0.4+'Форма 3.3.'!C17*0.2</f>
        <v>1.4227321888580813</v>
      </c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9"/>
    </row>
    <row r="9" spans="1:99" s="90" customFormat="1" ht="60" customHeight="1">
      <c r="A9" s="93"/>
      <c r="B9" s="193" t="s">
        <v>102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71" t="s">
        <v>103</v>
      </c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3"/>
      <c r="BR9" s="197">
        <f>'Форма 6.1.'!F39*0.1+'Форма 6.2.'!F40*0.7+'Форма 6.3.'!F40*0.2</f>
        <v>1.0514999999999999</v>
      </c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9"/>
    </row>
    <row r="10" spans="1:99" s="90" customFormat="1" ht="34.5" customHeight="1">
      <c r="A10" s="93"/>
      <c r="B10" s="193" t="s">
        <v>104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71" t="s">
        <v>105</v>
      </c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3"/>
      <c r="BR10" s="194">
        <v>0.00379</v>
      </c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6"/>
    </row>
    <row r="11" spans="1:99" s="90" customFormat="1" ht="34.5" customHeight="1">
      <c r="A11" s="93"/>
      <c r="B11" s="193" t="s">
        <v>106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71" t="s">
        <v>105</v>
      </c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3"/>
      <c r="BR11" s="194">
        <v>1.0974</v>
      </c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6"/>
    </row>
    <row r="12" spans="1:99" s="90" customFormat="1" ht="34.5" customHeight="1">
      <c r="A12" s="93"/>
      <c r="B12" s="193" t="s">
        <v>107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71" t="s">
        <v>105</v>
      </c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3"/>
      <c r="BR12" s="194">
        <v>0.8975</v>
      </c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6"/>
    </row>
    <row r="13" spans="1:99" s="90" customFormat="1" ht="48.75" customHeight="1">
      <c r="A13" s="93"/>
      <c r="B13" s="170" t="s">
        <v>108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89" t="s">
        <v>109</v>
      </c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3"/>
      <c r="BR13" s="190">
        <v>0</v>
      </c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2"/>
    </row>
    <row r="14" spans="1:99" s="90" customFormat="1" ht="91.5" customHeight="1">
      <c r="A14" s="93"/>
      <c r="B14" s="170" t="s">
        <v>110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89" t="s">
        <v>109</v>
      </c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3"/>
      <c r="BR14" s="190">
        <v>0</v>
      </c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2"/>
    </row>
    <row r="15" spans="1:99" s="90" customFormat="1" ht="63" customHeight="1">
      <c r="A15" s="93"/>
      <c r="B15" s="170" t="s">
        <v>111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89" t="s">
        <v>109</v>
      </c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3"/>
      <c r="BR15" s="190">
        <v>0</v>
      </c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2"/>
    </row>
    <row r="16" spans="1:99" ht="15.75">
      <c r="A16" s="144" t="s">
        <v>112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</row>
    <row r="17" spans="1:99" ht="15.75">
      <c r="A17" s="184" t="s">
        <v>76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</row>
    <row r="18" spans="1:99" ht="15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</row>
    <row r="19" spans="1:99" ht="15">
      <c r="A19" s="185" t="s">
        <v>78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5" t="s">
        <v>113</v>
      </c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7"/>
      <c r="BJ19" s="185" t="s">
        <v>1</v>
      </c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7"/>
    </row>
    <row r="20" spans="1:99" ht="31.5" customHeight="1">
      <c r="A20" s="91"/>
      <c r="B20" s="170" t="s">
        <v>114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1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3"/>
      <c r="BJ20" s="91"/>
      <c r="BK20" s="188" t="s">
        <v>115</v>
      </c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96"/>
    </row>
    <row r="21" spans="1:99" ht="31.5" customHeight="1">
      <c r="A21" s="97"/>
      <c r="B21" s="174" t="s">
        <v>116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6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8"/>
      <c r="BJ21" s="99"/>
      <c r="BK21" s="182" t="s">
        <v>117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00"/>
    </row>
    <row r="22" spans="1:99" ht="31.5" customHeight="1">
      <c r="A22" s="101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9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1"/>
      <c r="BJ22" s="10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04"/>
    </row>
    <row r="23" spans="1:99" ht="31.5" customHeight="1">
      <c r="A23" s="93"/>
      <c r="B23" s="170" t="s">
        <v>118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1" t="s">
        <v>119</v>
      </c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3"/>
      <c r="BJ23" s="91"/>
      <c r="BK23" s="130">
        <v>0</v>
      </c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96"/>
    </row>
    <row r="24" spans="1:99" ht="31.5" customHeight="1">
      <c r="A24" s="93"/>
      <c r="B24" s="170" t="s">
        <v>120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1" t="s">
        <v>119</v>
      </c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3"/>
      <c r="BJ24" s="91"/>
      <c r="BK24" s="130">
        <v>0</v>
      </c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96"/>
    </row>
    <row r="25" spans="1:99" ht="31.5" customHeight="1">
      <c r="A25" s="93"/>
      <c r="B25" s="170" t="s">
        <v>121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1" t="s">
        <v>122</v>
      </c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3"/>
      <c r="BJ25" s="91"/>
      <c r="BK25" s="130">
        <v>0</v>
      </c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96"/>
    </row>
  </sheetData>
  <sheetProtection/>
  <mergeCells count="53">
    <mergeCell ref="A3:CU3"/>
    <mergeCell ref="A6:AM6"/>
    <mergeCell ref="AN6:BQ6"/>
    <mergeCell ref="BR6:CU6"/>
    <mergeCell ref="B7:AM7"/>
    <mergeCell ref="AN7:BQ7"/>
    <mergeCell ref="BR7:CU7"/>
    <mergeCell ref="A4:CU4"/>
    <mergeCell ref="B8:AM8"/>
    <mergeCell ref="AN8:BQ8"/>
    <mergeCell ref="BR8:CU8"/>
    <mergeCell ref="B9:AM9"/>
    <mergeCell ref="AN9:BQ9"/>
    <mergeCell ref="BR9:CU9"/>
    <mergeCell ref="B10:AM10"/>
    <mergeCell ref="AN10:BQ10"/>
    <mergeCell ref="BR10:CU10"/>
    <mergeCell ref="B11:AM11"/>
    <mergeCell ref="AN11:BQ11"/>
    <mergeCell ref="BR11:CU11"/>
    <mergeCell ref="B12:AM12"/>
    <mergeCell ref="AN12:BQ12"/>
    <mergeCell ref="BR12:CU12"/>
    <mergeCell ref="B13:AM13"/>
    <mergeCell ref="AN13:BQ13"/>
    <mergeCell ref="BR13:CU13"/>
    <mergeCell ref="B14:AM14"/>
    <mergeCell ref="AN14:BQ14"/>
    <mergeCell ref="BR14:CU14"/>
    <mergeCell ref="B15:AM15"/>
    <mergeCell ref="AN15:BQ15"/>
    <mergeCell ref="BR15:CU15"/>
    <mergeCell ref="A16:CU16"/>
    <mergeCell ref="A17:CU17"/>
    <mergeCell ref="A19:AM19"/>
    <mergeCell ref="AN19:BI19"/>
    <mergeCell ref="BJ19:CU19"/>
    <mergeCell ref="B20:AM20"/>
    <mergeCell ref="AN20:BI20"/>
    <mergeCell ref="BK20:CT20"/>
    <mergeCell ref="B21:AM22"/>
    <mergeCell ref="AN21:BI22"/>
    <mergeCell ref="BK21:CT21"/>
    <mergeCell ref="BK22:CT22"/>
    <mergeCell ref="B23:AM23"/>
    <mergeCell ref="AN23:BI23"/>
    <mergeCell ref="BK23:CT23"/>
    <mergeCell ref="B24:AM24"/>
    <mergeCell ref="AN24:BI24"/>
    <mergeCell ref="BK24:CT24"/>
    <mergeCell ref="B25:AM25"/>
    <mergeCell ref="AN25:BI25"/>
    <mergeCell ref="BK25:CT2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Шпинглер Алексей Валерьевич</cp:lastModifiedBy>
  <cp:lastPrinted>2015-03-06T04:01:54Z</cp:lastPrinted>
  <dcterms:created xsi:type="dcterms:W3CDTF">1996-10-08T23:32:33Z</dcterms:created>
  <dcterms:modified xsi:type="dcterms:W3CDTF">2015-04-06T06:00:56Z</dcterms:modified>
  <cp:category/>
  <cp:version/>
  <cp:contentType/>
  <cp:contentStatus/>
</cp:coreProperties>
</file>